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Стоматология" sheetId="1" state="hidden" r:id="rId1"/>
    <sheet name="осмотр врачами 01 11 2018" sheetId="2" r:id="rId2"/>
    <sheet name="лаборатория 01 11 2018" sheetId="3" r:id="rId3"/>
    <sheet name="гинекология" sheetId="4" state="hidden" r:id="rId4"/>
    <sheet name="общий прейскурант" sheetId="5" state="hidden" r:id="rId5"/>
    <sheet name="стоматология 01 11 2018" sheetId="6" r:id="rId6"/>
    <sheet name="Перечень медуслуг" sheetId="7" state="hidden" r:id="rId7"/>
  </sheets>
  <definedNames>
    <definedName name="_xlnm.Print_Area" localSheetId="2">'лаборатория 01 11 2018'!$A$1:$E$94</definedName>
    <definedName name="_xlnm.Print_Area" localSheetId="1">'осмотр врачами 01 11 2018'!$A$1:$H$66</definedName>
  </definedNames>
  <calcPr fullCalcOnLoad="1"/>
</workbook>
</file>

<file path=xl/sharedStrings.xml><?xml version="1.0" encoding="utf-8"?>
<sst xmlns="http://schemas.openxmlformats.org/spreadsheetml/2006/main" count="1559" uniqueCount="859">
  <si>
    <t>"Утверждаю"</t>
  </si>
  <si>
    <t>А. В. Лобов</t>
  </si>
  <si>
    <t>Наименование платной медицинской услуги</t>
  </si>
  <si>
    <t>Ед. изм.</t>
  </si>
  <si>
    <t xml:space="preserve">                   Главный врач УЗ "Хотимская ЦРБ"</t>
  </si>
  <si>
    <t>В тарифах не учтена стоимость медикаментов и расходных материалов, которые оплачиваются заказчиком дополнительно, согласно действующего законадательства</t>
  </si>
  <si>
    <t>Осмотры специалистами</t>
  </si>
  <si>
    <t>осмотр</t>
  </si>
  <si>
    <t>Врачом - терапевтом</t>
  </si>
  <si>
    <t>Тариф без учета НДС</t>
  </si>
  <si>
    <t>Примечание</t>
  </si>
  <si>
    <t>Врачом - неврологом</t>
  </si>
  <si>
    <t>Врачом - офтальмологом</t>
  </si>
  <si>
    <t>Врачом - оториноларингологом</t>
  </si>
  <si>
    <t>Врачом - хирургом</t>
  </si>
  <si>
    <t>Врачом акушер-гинекологом</t>
  </si>
  <si>
    <t>Врачом - фтизиатром</t>
  </si>
  <si>
    <t>Врачом - психиатром</t>
  </si>
  <si>
    <t>Врачом - инфекционистом</t>
  </si>
  <si>
    <t>Врачом дерматовенерологом</t>
  </si>
  <si>
    <t>Врачом - наркологом</t>
  </si>
  <si>
    <t>Врачом - онкологом</t>
  </si>
  <si>
    <t>Врачом - стоматологом</t>
  </si>
  <si>
    <t>Вынесение врачом-специалистом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</si>
  <si>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</si>
  <si>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</si>
  <si>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№</t>
  </si>
  <si>
    <t>Наименование платных медицинских услуг</t>
  </si>
  <si>
    <t>Общие стоматологические мероприятия.</t>
  </si>
  <si>
    <t>1.1.</t>
  </si>
  <si>
    <t>стоматологическое обследование при первичном обращении</t>
  </si>
  <si>
    <t>1.2.</t>
  </si>
  <si>
    <t>динамическое наблюдение в процессе лечения</t>
  </si>
  <si>
    <t>1.4.</t>
  </si>
  <si>
    <t>анализ дентальных снимков</t>
  </si>
  <si>
    <t>1.7.</t>
  </si>
  <si>
    <t>мотивация по факторам риска стоматологических заболеваний</t>
  </si>
  <si>
    <t>1.14.</t>
  </si>
  <si>
    <t>удаление зубного налета с одного зуба, очистка зуба</t>
  </si>
  <si>
    <t>1.15.</t>
  </si>
  <si>
    <t>инструментальное удаление зубных отложений с одного зуба (крючками)</t>
  </si>
  <si>
    <t>1.21.</t>
  </si>
  <si>
    <t>полирование одного зуба после снятия зубных отложений</t>
  </si>
  <si>
    <t>1.22.</t>
  </si>
  <si>
    <t>изготовление временной пломбы</t>
  </si>
  <si>
    <t>1.23.</t>
  </si>
  <si>
    <t>удаление одной прочнофиксированной пломбы</t>
  </si>
  <si>
    <t>1.24.</t>
  </si>
  <si>
    <t>удаление одной дефектной пломбы</t>
  </si>
  <si>
    <t>1.25.</t>
  </si>
  <si>
    <t>снятие одной пластмассовой коронки</t>
  </si>
  <si>
    <t>1.26.</t>
  </si>
  <si>
    <t>снятие одной штампованной  коронки</t>
  </si>
  <si>
    <t>1.37.</t>
  </si>
  <si>
    <t>снятие оттиска из силиконовой, полисиликоновой массы</t>
  </si>
  <si>
    <t>1.39.</t>
  </si>
  <si>
    <t>снятие оттиска из гипса</t>
  </si>
  <si>
    <t>1.46.</t>
  </si>
  <si>
    <t>инфильтрационная анестезия</t>
  </si>
  <si>
    <t>1.47.</t>
  </si>
  <si>
    <t>проводниковая анестезия</t>
  </si>
  <si>
    <t xml:space="preserve">2.  </t>
  </si>
  <si>
    <t>Стоматология терапевтическая (терапевтическое стоматологическое лечение) :</t>
  </si>
  <si>
    <t>2.3.1.</t>
  </si>
  <si>
    <t>минимальное инвазивное препарирование кариозной полости</t>
  </si>
  <si>
    <t>2.3.2.</t>
  </si>
  <si>
    <t>препарирование кариозной полости при разрушении до 1/3 коронки зуба</t>
  </si>
  <si>
    <t>2.3.3.</t>
  </si>
  <si>
    <t>препарирование кариозной полости при разрушении до 1/2 коронки зуба</t>
  </si>
  <si>
    <t>2.3.4.</t>
  </si>
  <si>
    <t>препарирование кариозной полости при разрушении более 1/2 коронки зуба</t>
  </si>
  <si>
    <t>2.4.</t>
  </si>
  <si>
    <t>изготовление изолирующей цементосодержащей прокладки</t>
  </si>
  <si>
    <t>2.9.1.</t>
  </si>
  <si>
    <t>прпарирование кариозной полости и полости однокорневого зуба</t>
  </si>
  <si>
    <t>2.9.2.</t>
  </si>
  <si>
    <t>препарирование кариозной полости и полости многокорневого зуба</t>
  </si>
  <si>
    <t>2.9.3.</t>
  </si>
  <si>
    <t>наложение девитализирующей пасты</t>
  </si>
  <si>
    <t>2.9.4.</t>
  </si>
  <si>
    <t>инструментальная обработка одного хорошо проходимого канала</t>
  </si>
  <si>
    <t>2.9.5.</t>
  </si>
  <si>
    <t>инструментальная обработка одного плохо проходимого канала</t>
  </si>
  <si>
    <t>2.9.8.</t>
  </si>
  <si>
    <t>ампутация пульпы</t>
  </si>
  <si>
    <t>2.9.9.</t>
  </si>
  <si>
    <t>наложение  пасты над устьями каналов</t>
  </si>
  <si>
    <t>2.9.10.</t>
  </si>
  <si>
    <t>экстирпация пульпы из одного канала</t>
  </si>
  <si>
    <t>2.9.11.</t>
  </si>
  <si>
    <t>распломбирование и инструментальная обработка одного канала зуба, ранее запломбированного пастой</t>
  </si>
  <si>
    <t>2.9.15.</t>
  </si>
  <si>
    <t>антисептическая обработка одного канала</t>
  </si>
  <si>
    <t>2.9.19.</t>
  </si>
  <si>
    <t>извлечение штифта, культевой вкладки из одного канала</t>
  </si>
  <si>
    <t>2.9.20.</t>
  </si>
  <si>
    <t>пломбирование одного канала пастой (силлером)</t>
  </si>
  <si>
    <t>2.9.21.</t>
  </si>
  <si>
    <t xml:space="preserve">пломбирование одного канала гуттаперчевыми штифтами на силлере </t>
  </si>
  <si>
    <t>2.10.1.</t>
  </si>
  <si>
    <t xml:space="preserve">раставрация коронковой части одного зуба композиционным материалом </t>
  </si>
  <si>
    <t>химического отверждения при лечении кариозной полости 1,2,3,4,5, классов</t>
  </si>
  <si>
    <t>по Блэку с локализацией полостей независимо от поверхности при минима</t>
  </si>
  <si>
    <t>льном инвазивном препарировании кариозной полости</t>
  </si>
  <si>
    <t>2.10.2.</t>
  </si>
  <si>
    <t>по Блэку с локализацией полостей независимо от поверхности при разру</t>
  </si>
  <si>
    <t>шении до 1/3 коронки зуба</t>
  </si>
  <si>
    <t>2.10.3.</t>
  </si>
  <si>
    <t>шении до 1/2 коронки зуба</t>
  </si>
  <si>
    <t>2.10.4.</t>
  </si>
  <si>
    <t>шении более 1/2 коронки зуба</t>
  </si>
  <si>
    <t>2.11.1.</t>
  </si>
  <si>
    <t xml:space="preserve">раставрация коронковой части одного зуба фотополимерным материалом </t>
  </si>
  <si>
    <t>2.11.2.</t>
  </si>
  <si>
    <t>2.11.3.</t>
  </si>
  <si>
    <t>2.11.4.</t>
  </si>
  <si>
    <t>2.17.</t>
  </si>
  <si>
    <t>востановление коронковой части зуба с применением анкера в 1 канале</t>
  </si>
  <si>
    <t>2.23.</t>
  </si>
  <si>
    <t>наложение матрицы</t>
  </si>
  <si>
    <t>2.27.1.</t>
  </si>
  <si>
    <t>шлифовка, полировка пломбы из копозиц. материала химического отверж</t>
  </si>
  <si>
    <t>2.27.2.</t>
  </si>
  <si>
    <t>шлифовка, полировка пломбы из копозиц. материала фотоотверждаемого</t>
  </si>
  <si>
    <t>3.</t>
  </si>
  <si>
    <t>Стоматология хирургическая (амбулаторно-хирургическое стоматологическое лечение</t>
  </si>
  <si>
    <t>3.7.</t>
  </si>
  <si>
    <t>операция удаления одного однокорневого зуба</t>
  </si>
  <si>
    <t>3.10.</t>
  </si>
  <si>
    <t>операция удаления одного многокорневого зуба</t>
  </si>
  <si>
    <t>4.</t>
  </si>
  <si>
    <t>Стоматология ортопедическая (клиническая часть ортопедического стоматологического лечения)</t>
  </si>
  <si>
    <t>4.1.</t>
  </si>
  <si>
    <t>временная фиксация одной коронки</t>
  </si>
  <si>
    <t>4.2.</t>
  </si>
  <si>
    <t>временная фиксация последующей коронки в протезе</t>
  </si>
  <si>
    <t>4.4.</t>
  </si>
  <si>
    <t>постоянная фиксация одной последующей коронки в протезе,реставр вкл</t>
  </si>
  <si>
    <t>4.10.</t>
  </si>
  <si>
    <t>коррекция съемного протеза</t>
  </si>
  <si>
    <t>4.11.</t>
  </si>
  <si>
    <t>перебазировка съемного протеза, починка</t>
  </si>
  <si>
    <t>4.13.</t>
  </si>
  <si>
    <t>припасовка индивидуальной ложки</t>
  </si>
  <si>
    <t>4.14.</t>
  </si>
  <si>
    <t>определение фиксированного прикуса</t>
  </si>
  <si>
    <t>4.15.</t>
  </si>
  <si>
    <t>определение центральной окклюзии с использованием восковых валиков</t>
  </si>
  <si>
    <t>4.16.</t>
  </si>
  <si>
    <t>проверка конструкции съемного протеза</t>
  </si>
  <si>
    <t>4.17.</t>
  </si>
  <si>
    <t>проверка каркаса бюгельного протеза</t>
  </si>
  <si>
    <t>4.18.</t>
  </si>
  <si>
    <t>сдача съемного протеза</t>
  </si>
  <si>
    <t>4.19.</t>
  </si>
  <si>
    <t xml:space="preserve">препарирование одного зуба, корня под культевую штиф.вкладку с 1 кан </t>
  </si>
  <si>
    <t>4.20.</t>
  </si>
  <si>
    <t xml:space="preserve">препарирование одного зуба, корня под культевую штиф.вкладку с 2 кан </t>
  </si>
  <si>
    <t>4.28.</t>
  </si>
  <si>
    <t>усложненное препарирование 1 зуба под коронку штампованную, колпач.</t>
  </si>
  <si>
    <t>4.31.</t>
  </si>
  <si>
    <t xml:space="preserve">препарирование 1 зуба под штампованную коронку с облицовкой </t>
  </si>
  <si>
    <t>4.35.</t>
  </si>
  <si>
    <t xml:space="preserve">препарирование 1 зуба под штампованную коронку пластмассовую </t>
  </si>
  <si>
    <t>4.36.</t>
  </si>
  <si>
    <t>усложненное препарирование 1 зуба под коронку пластмассовую</t>
  </si>
  <si>
    <t>4.43.</t>
  </si>
  <si>
    <t>припасовка 1 штампованной, бюгельной коронки, колпачка</t>
  </si>
  <si>
    <t>4.44.</t>
  </si>
  <si>
    <t>припасовка 1 коронки с облицовкой, пластмассовой</t>
  </si>
  <si>
    <t>4.49.</t>
  </si>
  <si>
    <t>припасовка каркаса мостовидного протеза из расчета на 1 единицу</t>
  </si>
  <si>
    <t>4.50.</t>
  </si>
  <si>
    <t>сдача несъемной конструкции протеза из расчета на 1 единицу</t>
  </si>
  <si>
    <t>6.</t>
  </si>
  <si>
    <t>Зуботехнические работы</t>
  </si>
  <si>
    <t>6.1.</t>
  </si>
  <si>
    <t>отливка модели из гипса</t>
  </si>
  <si>
    <t>6.4.1.</t>
  </si>
  <si>
    <t>изготовление съемного пластиночного протеза с 1 зубом из пластмассы</t>
  </si>
  <si>
    <t>6.4.2.</t>
  </si>
  <si>
    <t>изготовление съемного пластиночного протеза с 2 зубом из пластмассы</t>
  </si>
  <si>
    <t>6.4.3.</t>
  </si>
  <si>
    <t>изготовление съемного пластиночного протеза с 3 зубом из пластмассы</t>
  </si>
  <si>
    <t>6.4.4.</t>
  </si>
  <si>
    <t>изготовление съемного пластиночного протеза с 4 зубом из пластмассы</t>
  </si>
  <si>
    <t>6.4.5.</t>
  </si>
  <si>
    <t>изготовление съемного пластиночного протеза с 5 зубом из пластмассы</t>
  </si>
  <si>
    <t>6.4.6.</t>
  </si>
  <si>
    <t>изготовление съемного пластиночного протеза с 6 зубом из пластмассы</t>
  </si>
  <si>
    <t>6.4.7.</t>
  </si>
  <si>
    <t>изготовление съемного пластиночного протеза с 7 зубом из пластмассы</t>
  </si>
  <si>
    <t>6.4.8.</t>
  </si>
  <si>
    <t>изготовление съемного пластиночного протеза с 8 зубом из пластмассы</t>
  </si>
  <si>
    <t>6.4.9.</t>
  </si>
  <si>
    <t>изготовление съемного пластиночного протеза с 9 зубом из пластмассы</t>
  </si>
  <si>
    <t>6.4.10.</t>
  </si>
  <si>
    <t>изготовление съемного пластиночного протеза с 10 зубом из пластмассы</t>
  </si>
  <si>
    <t>6.4.11.</t>
  </si>
  <si>
    <t>изготовление съемного пластиночного протеза с 11 зубом из пластмассы</t>
  </si>
  <si>
    <t>6.4.12.</t>
  </si>
  <si>
    <t>изготовление съемного пластиночного протеза с 12 зубом из пластмассы</t>
  </si>
  <si>
    <t>6.4.13.</t>
  </si>
  <si>
    <t>изготовление съемного пластиночного протеза с 13 зубом из пластмассы</t>
  </si>
  <si>
    <t>6.4.14.</t>
  </si>
  <si>
    <t>изготовление полного съемного пластиночного  протеза с зубами из пласт</t>
  </si>
  <si>
    <t>6.4.15.</t>
  </si>
  <si>
    <t>изготовление полн.съемн. пласт. протеза с зубами из пласт. с усложн.пост</t>
  </si>
  <si>
    <t>6.4.17.</t>
  </si>
  <si>
    <t xml:space="preserve">приварка одного зуба из пластмассы </t>
  </si>
  <si>
    <t>6.4.18.</t>
  </si>
  <si>
    <t xml:space="preserve">приварка двух зубов из пластмассы </t>
  </si>
  <si>
    <t>6.4.19.</t>
  </si>
  <si>
    <t xml:space="preserve">приварка трех зубов из пластмассы </t>
  </si>
  <si>
    <t>6.4.20.</t>
  </si>
  <si>
    <t>приварка четырех зубов из пластмассы</t>
  </si>
  <si>
    <t>6.4.22.</t>
  </si>
  <si>
    <t>изготовление мягкой прокладки к базису</t>
  </si>
  <si>
    <t>6.4.23.</t>
  </si>
  <si>
    <t>изготовление индивидуальной ложки (жесткой)</t>
  </si>
  <si>
    <t>6.4.24.</t>
  </si>
  <si>
    <t>изготовление кламмера гнутого</t>
  </si>
  <si>
    <t>6.6.1.</t>
  </si>
  <si>
    <t>изготовление коронки стальной восстановительной, экваторной коронки</t>
  </si>
  <si>
    <t>6.6.2.</t>
  </si>
  <si>
    <t>изготовление коронки стальной восстановительной с пластмассовой облиц</t>
  </si>
  <si>
    <t>6.6.4.</t>
  </si>
  <si>
    <t>изготовление коронки стальной вост. с покр. двуокисью титана с пл.обл</t>
  </si>
  <si>
    <t>6.6.5.</t>
  </si>
  <si>
    <t>изготовление коронки пластмассовой</t>
  </si>
  <si>
    <t>6.6.6.</t>
  </si>
  <si>
    <t>изготовление искусственного пластмассового зуба</t>
  </si>
  <si>
    <t>6.6.8.</t>
  </si>
  <si>
    <t>изготовление искусственного зуба литого</t>
  </si>
  <si>
    <t>6.6.9.</t>
  </si>
  <si>
    <t>изготовление искусственного зуба литого с пластмассовой фасеткой</t>
  </si>
  <si>
    <t>6.6.10.</t>
  </si>
  <si>
    <t>спайка деталей (одна спайка)</t>
  </si>
  <si>
    <t>6.6.11.</t>
  </si>
  <si>
    <t>изготовление окклюзионной накладки, лапки</t>
  </si>
  <si>
    <t>6.12.1.</t>
  </si>
  <si>
    <t>устранение одного перелома базиса в протезе</t>
  </si>
  <si>
    <t>6.12.2.</t>
  </si>
  <si>
    <t>устранение двух переломов базиса в протезе</t>
  </si>
  <si>
    <t>6.12.3.</t>
  </si>
  <si>
    <t>замена, установка или перенос кламмера</t>
  </si>
  <si>
    <t>6.12.5.</t>
  </si>
  <si>
    <t>изоляция торуса, экзостоза</t>
  </si>
  <si>
    <t>6.12.6.</t>
  </si>
  <si>
    <t xml:space="preserve">изоляция двух  торусов, экзостозов </t>
  </si>
  <si>
    <t>6.12.7.</t>
  </si>
  <si>
    <t xml:space="preserve">изоляция трех  торусов, экзостозов </t>
  </si>
  <si>
    <t>6.13.</t>
  </si>
  <si>
    <t>отливка деталей из нержавеющей стали</t>
  </si>
  <si>
    <t>6.18.2.</t>
  </si>
  <si>
    <t>изготовление прикусного шаблона из воска</t>
  </si>
  <si>
    <t>8.</t>
  </si>
  <si>
    <t>Рентгенологическая диагностика (стоматологическая)</t>
  </si>
  <si>
    <t>8.1.</t>
  </si>
  <si>
    <t>рентгенография прицельная</t>
  </si>
  <si>
    <t>Единица измерения</t>
  </si>
  <si>
    <t>прим</t>
  </si>
  <si>
    <t>Главный врач УЗ "Хотимская ЦРБ"</t>
  </si>
  <si>
    <t>"__"</t>
  </si>
  <si>
    <t>___________</t>
  </si>
  <si>
    <t>1.3.</t>
  </si>
  <si>
    <t>взятие крови из пальца</t>
  </si>
  <si>
    <t>1.3.2.</t>
  </si>
  <si>
    <t>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</si>
  <si>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</si>
  <si>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2.1.</t>
  </si>
  <si>
    <t>исследование мочи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</si>
  <si>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</si>
  <si>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</si>
  <si>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</si>
  <si>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</si>
  <si>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</si>
  <si>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обнаружение белка</t>
  </si>
  <si>
    <t>2.1.3.2.</t>
  </si>
  <si>
    <t>с сульфосалициловой кислотой</t>
  </si>
  <si>
    <t>2.1.4.</t>
  </si>
  <si>
    <t>определение белка</t>
  </si>
  <si>
    <t>2.1.4.1.</t>
  </si>
  <si>
    <t>2.1.10.</t>
  </si>
  <si>
    <t>микроскопическое исследование осадка</t>
  </si>
  <si>
    <t>2.1.10.1.</t>
  </si>
  <si>
    <t>в норме</t>
  </si>
  <si>
    <t>2.10.</t>
  </si>
  <si>
    <t>обнаружение трихомонад и гонококков в препаратах отделяемого мочеполовых органов, окрашенных метиленовым синим и по Граму</t>
  </si>
  <si>
    <t>обнаружение трихомонад и гонококков в окрашенных метиленовым синим препаратах отделяемого мочеполовых органов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</si>
  <si>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</si>
  <si>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</si>
  <si>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</si>
  <si>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</si>
  <si>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определение скорости оседания эритроцитов</t>
  </si>
  <si>
    <t>3.8.</t>
  </si>
  <si>
    <t>подсчет лейкоцитов в счетной камере</t>
  </si>
  <si>
    <t>3.8.1.</t>
  </si>
  <si>
    <t>для негематологических заболеваний</t>
  </si>
  <si>
    <t>8.17.11.</t>
  </si>
  <si>
    <t>микрореакция преципитации (МРП) с кардиолипиновым антигеном</t>
  </si>
  <si>
    <t>8.17.11.1.</t>
  </si>
  <si>
    <t>с инактивированной нативной сывороткой крови – качественный метод (единичное исследование)</t>
  </si>
  <si>
    <t>Отдельные операции</t>
  </si>
  <si>
    <t>Общеклинические исследования</t>
  </si>
  <si>
    <t>Гематологические исследования</t>
  </si>
  <si>
    <t>Бактериологические исследования</t>
  </si>
  <si>
    <t>проба</t>
  </si>
  <si>
    <t>исследование</t>
  </si>
  <si>
    <t>Единичное исследование</t>
  </si>
  <si>
    <t>каждое последующее</t>
  </si>
  <si>
    <t>Прейскурант цен на платные лабораторные исследования</t>
  </si>
  <si>
    <t>Экономист                         Л. И. Бабаева</t>
  </si>
  <si>
    <t xml:space="preserve">Прейскурант цен на платную услугу "Осмотры специалистами" </t>
  </si>
  <si>
    <t xml:space="preserve">Прейскурант цен на платную услугу "Стоматология" </t>
  </si>
  <si>
    <t>манипуляция</t>
  </si>
  <si>
    <t>изделие</t>
  </si>
  <si>
    <t>4.3.</t>
  </si>
  <si>
    <t>постоянная фиксация одной коронки реставрационной</t>
  </si>
  <si>
    <t>4.27.</t>
  </si>
  <si>
    <t>препарирование одного зуба под коронку штампованную</t>
  </si>
  <si>
    <t>УЗ "Хотимская ЦРБ"</t>
  </si>
  <si>
    <t>проектируемый с рентабельностью 5%, руб.</t>
  </si>
  <si>
    <t xml:space="preserve">Прейскурант на медицинские услуги, оказываемые c 24.11.11г </t>
  </si>
  <si>
    <t>изменение в %</t>
  </si>
  <si>
    <t>без учета НДС, руб.</t>
  </si>
  <si>
    <t>с учетом НДС, руб.</t>
  </si>
  <si>
    <t>1.</t>
  </si>
  <si>
    <t>Общие стоматологические мероприятия</t>
  </si>
  <si>
    <t>Стоматологические обследования и процедуры</t>
  </si>
  <si>
    <t>1.1.1.</t>
  </si>
  <si>
    <t>обследование</t>
  </si>
  <si>
    <t>1.1.2.</t>
  </si>
  <si>
    <t>1.1.4.</t>
  </si>
  <si>
    <t>процедур</t>
  </si>
  <si>
    <t>1.1.6.</t>
  </si>
  <si>
    <t>анализ результатов дополнительных методов исследования</t>
  </si>
  <si>
    <t>1.2.1.</t>
  </si>
  <si>
    <t>мотивация по факторам риска стоматологических заболеваний, обучение пациента чистке зубов</t>
  </si>
  <si>
    <t>1.2.2.</t>
  </si>
  <si>
    <t>покрытие одного зуба фторсодержащим или герметизирующим препаратом</t>
  </si>
  <si>
    <t xml:space="preserve">1.2.3. </t>
  </si>
  <si>
    <t>покрытие последующего зуба фторсодержащим или герметизирующим препаратом</t>
  </si>
  <si>
    <t>1.2.4.</t>
  </si>
  <si>
    <t xml:space="preserve">контроль гигиены с применением специальных индексов в области ключевых зубов </t>
  </si>
  <si>
    <t>1.2.6.</t>
  </si>
  <si>
    <t>1.2.7.</t>
  </si>
  <si>
    <t>инструментальное удаление зубных отложений с одного зуба (ручным инструментом)</t>
  </si>
  <si>
    <t>1.2.13.</t>
  </si>
  <si>
    <t>манип-я</t>
  </si>
  <si>
    <t>1.3.3.</t>
  </si>
  <si>
    <t>1.4.1.</t>
  </si>
  <si>
    <t>наложение временной пломбы</t>
  </si>
  <si>
    <t>1.4.2.</t>
  </si>
  <si>
    <t>1.4.3.</t>
  </si>
  <si>
    <t>1.4.4.</t>
  </si>
  <si>
    <t>1.4.5.</t>
  </si>
  <si>
    <t>1.4.6.</t>
  </si>
  <si>
    <t>снятие одной цельнолитой, мелаллокерамической, металлоакриловой коронки</t>
  </si>
  <si>
    <t>1.4.7.</t>
  </si>
  <si>
    <t>инстилляция (орошение) полости рта антисептиком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</si>
  <si>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</si>
  <si>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</si>
  <si>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</si>
  <si>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</si>
  <si>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1.4.13.</t>
  </si>
  <si>
    <t>коагуляция гипертрофированного десневого сосочка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</si>
  <si>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</si>
  <si>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</si>
  <si>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</si>
  <si>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</si>
  <si>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</si>
  <si>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1.4.18.</t>
  </si>
  <si>
    <t xml:space="preserve"> оттиск из гипса</t>
  </si>
  <si>
    <t>1.4.20.</t>
  </si>
  <si>
    <t>1.4.21.</t>
  </si>
  <si>
    <t>отливка модели из супергипса</t>
  </si>
  <si>
    <t>1.4.22.</t>
  </si>
  <si>
    <t>отливка модели комбинированной</t>
  </si>
  <si>
    <t>1.4.23.</t>
  </si>
  <si>
    <t>гравировка гипсовых моделей</t>
  </si>
  <si>
    <t>1.4.24.</t>
  </si>
  <si>
    <t>избирательное пришлифовывание бугров одного зуба</t>
  </si>
  <si>
    <t>1.4.25.</t>
  </si>
  <si>
    <t>избирательное пришлифовывание бугров двух контактных зубов (супраокклюзия)</t>
  </si>
  <si>
    <t>1.4.29.</t>
  </si>
  <si>
    <t>забор материала для гистологического исследования (биопсия)</t>
  </si>
  <si>
    <t>герметизация фисур одного зуба (неинвазивный метод)</t>
  </si>
  <si>
    <t>2.2.1.</t>
  </si>
  <si>
    <t>2.2.2.</t>
  </si>
  <si>
    <t>2.2.3.</t>
  </si>
  <si>
    <t>2.2.4.</t>
  </si>
  <si>
    <t>изготовление изолирующей прокладки из стеклоиономерного цемента</t>
  </si>
  <si>
    <t xml:space="preserve">изготовление изолирующей  фотоотверждаемой (композит, компомер, флоу) прокладки 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</si>
  <si>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</si>
  <si>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</si>
  <si>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</si>
  <si>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2.4.1.</t>
  </si>
  <si>
    <t>2.4.2.</t>
  </si>
  <si>
    <t>2.4.3.</t>
  </si>
  <si>
    <t>2.4.4.</t>
  </si>
  <si>
    <t>2.4.5.</t>
  </si>
  <si>
    <t>2.4.8.</t>
  </si>
  <si>
    <t>2.4.9.</t>
  </si>
  <si>
    <t>2.4.10.</t>
  </si>
  <si>
    <t>2.4.11.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</si>
  <si>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</si>
  <si>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</si>
  <si>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</si>
  <si>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и инструментальная обработка одного канала зуба, ранее запломбированного пастой,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</si>
  <si>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</si>
  <si>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</si>
  <si>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</si>
  <si>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</si>
  <si>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</si>
  <si>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</si>
  <si>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</si>
  <si>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</si>
  <si>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</si>
  <si>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</si>
  <si>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2.4.20.</t>
  </si>
  <si>
    <t>2.4.21.</t>
  </si>
  <si>
    <t>пломбирование одного канала гуттаперчевыми штифтами на силлере методом конденсации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</si>
  <si>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</si>
  <si>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</si>
  <si>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</si>
  <si>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</si>
  <si>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</si>
  <si>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</si>
  <si>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</si>
  <si>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</si>
  <si>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2.5.16.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</si>
  <si>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</si>
  <si>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</si>
  <si>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1/3 коронки зуба</t>
  </si>
  <si>
    <t>2.5.18.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</si>
  <si>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1/2 коронки зуба</t>
  </si>
  <si>
    <t>2.5.19.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</si>
  <si>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более 1/2 коронки зуба</t>
  </si>
  <si>
    <t>2.5.20.</t>
  </si>
  <si>
    <t>востановление коронковой части зуба с применением парапульпарного штифта (без стоимости пломбы)</t>
  </si>
  <si>
    <t>2.5.22.</t>
  </si>
  <si>
    <t>востановление коронковой части зуба с применением анкера (интрапульпарного штифта) в одном канале (без стоимости пломбы)</t>
  </si>
  <si>
    <t>2.5.23.</t>
  </si>
  <si>
    <t>виниринговое (прямое) покрытие коронковой части зуба (без стоимости пломбы)</t>
  </si>
  <si>
    <t>2.5.24.</t>
  </si>
  <si>
    <t>востановление угла коронковой части зуба при отломе (без стоимости пломба)</t>
  </si>
  <si>
    <t>2.5.25.</t>
  </si>
  <si>
    <t>востановление угла коронковой части зуба при лечении кариеса и пульпита  (без стоимости пломба)</t>
  </si>
  <si>
    <t>2.5.26.</t>
  </si>
  <si>
    <t>Полное востановление анатомической формы коронковой части фронтального зуба (без стоимости пломбы)</t>
  </si>
  <si>
    <t>2.5.27.</t>
  </si>
  <si>
    <t>Полное востановление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</si>
  <si>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</si>
  <si>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</si>
  <si>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2.5.32.</t>
  </si>
  <si>
    <t>шлифовка, полировка пломбы из компазиционного материала химического отверждения</t>
  </si>
  <si>
    <t>2.5.33.</t>
  </si>
  <si>
    <t xml:space="preserve">шлифовка, полировка пломбы из фотоотверждаемого компазиционного материала </t>
  </si>
  <si>
    <t>2.7.1.</t>
  </si>
  <si>
    <t>кюретаж периодонтальных карманов в области одного зуба</t>
  </si>
  <si>
    <t>2.7.3.</t>
  </si>
  <si>
    <t>противоваспалительная лечебная повязка в области одного секстанта</t>
  </si>
  <si>
    <t>3.1.10.</t>
  </si>
  <si>
    <t>операция удаления одного однокорневого зуба щипцами</t>
  </si>
  <si>
    <t>операция</t>
  </si>
  <si>
    <t>3.1.11.</t>
  </si>
  <si>
    <t>операция удаления одного однокорневого зуба щипцами и элеватором</t>
  </si>
  <si>
    <t>3.1.12.</t>
  </si>
  <si>
    <t>операция удаления однокорневого зуба методом выдалбливания с выкраиванием слизистонадкостничного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</si>
  <si>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</si>
  <si>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слизистонадкостничного лоскута</t>
  </si>
  <si>
    <t>3.1.14.</t>
  </si>
  <si>
    <t>операция удаления одного многокорневого зуба щипцами</t>
  </si>
  <si>
    <t>3.1.15.</t>
  </si>
  <si>
    <t>операция удаления одного многокорневого зуба щипцами и элеватором</t>
  </si>
  <si>
    <t>3.1.16.</t>
  </si>
  <si>
    <t>операция удаления многокорневого зуба методом выдалбливания с выкраиванием слизистонадкостничного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</si>
  <si>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</si>
  <si>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слизистонадкостничного лоскута</t>
  </si>
  <si>
    <t>3.1.18.</t>
  </si>
  <si>
    <t xml:space="preserve">операция удаления ретенированного зуба 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</si>
  <si>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</si>
  <si>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</si>
  <si>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</si>
  <si>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зуба.</t>
  </si>
  <si>
    <t>4.1.1.</t>
  </si>
  <si>
    <t>4.1.2.</t>
  </si>
  <si>
    <t>4.1.3.</t>
  </si>
  <si>
    <t>клиническая параллелометрия</t>
  </si>
  <si>
    <t>4.2.1.</t>
  </si>
  <si>
    <t>4.2.2.</t>
  </si>
  <si>
    <t>4.2.3.</t>
  </si>
  <si>
    <t>постоянная фиксация одной  коронки ,реставр вкладки</t>
  </si>
  <si>
    <t>4.2.4.</t>
  </si>
  <si>
    <t>4.2.5.</t>
  </si>
  <si>
    <t>постоянная фиксация вкладки культевой со штифтом</t>
  </si>
  <si>
    <t>4.2.6.</t>
  </si>
  <si>
    <t>исправление фасетки пластмассовой</t>
  </si>
  <si>
    <t>4.2.9.</t>
  </si>
  <si>
    <t xml:space="preserve">препарирование одного зуба, корня под культевую штиф.вкладку с 1 каналом </t>
  </si>
  <si>
    <t>4.2.10.</t>
  </si>
  <si>
    <t>препарирование одного зуба, корня под культевую штиф.вкладку с 2 каналами</t>
  </si>
  <si>
    <t>4.2.11.</t>
  </si>
  <si>
    <t xml:space="preserve">препарирование одного зуба, корня под культевую штиф.вкладку с 3 каналами </t>
  </si>
  <si>
    <t>4.2.12.</t>
  </si>
  <si>
    <t>моделирование вкладки культевой с одним штифтом</t>
  </si>
  <si>
    <t>4.2.13.</t>
  </si>
  <si>
    <t>моделирование вкладки культевой с двумя штифтами</t>
  </si>
  <si>
    <t>4.2.14.</t>
  </si>
  <si>
    <t>моделирование вкладки культевой с тремя штифтами</t>
  </si>
  <si>
    <t>4.2.15.</t>
  </si>
  <si>
    <t>препарирование одного зуба под вкладку из компазиционного, керамического материала, ложа для шинирующего протеза</t>
  </si>
  <si>
    <t>4.2.16.</t>
  </si>
  <si>
    <t>припасовка вкладки культевой с одним штифтом</t>
  </si>
  <si>
    <t>4.2.17.</t>
  </si>
  <si>
    <t>припасовка вкладки культевой с двумя  штифтами</t>
  </si>
  <si>
    <t>4.2.18.</t>
  </si>
  <si>
    <t>припасовка вкладки культевой с тремя  штифтами</t>
  </si>
  <si>
    <t>4.2.19.</t>
  </si>
  <si>
    <t>припасовка вкладки культевой со  штифтом</t>
  </si>
  <si>
    <t>4.2.20.</t>
  </si>
  <si>
    <t xml:space="preserve">припасовка вкладки из компазиционного, керамического материала </t>
  </si>
  <si>
    <t>4.2.21.</t>
  </si>
  <si>
    <t>препарирование одного зуба под коронку пластмассовую</t>
  </si>
  <si>
    <t>4.2.22.</t>
  </si>
  <si>
    <t>усложненное препарирование одного зуба под коронку пластмассовую</t>
  </si>
  <si>
    <t>4.2.23.</t>
  </si>
  <si>
    <t>препарирование одного зуба под коронку цельнолитую, все виды штампованных коронок</t>
  </si>
  <si>
    <t>4.2.24.</t>
  </si>
  <si>
    <t>усложненное препарирование одного зуба под коронку цельнолитую, все виды штампованных коронок</t>
  </si>
  <si>
    <t>4.2.27.</t>
  </si>
  <si>
    <t>препарирование одного зуба под полукоронку, ламинат</t>
  </si>
  <si>
    <t>4.2.28.</t>
  </si>
  <si>
    <t>усложненное препарирование одного зуба под полукоронку, ламинат</t>
  </si>
  <si>
    <t>4.2.29.</t>
  </si>
  <si>
    <t xml:space="preserve">припасовка 1 пластмассовой коронки </t>
  </si>
  <si>
    <t>4.2.30.</t>
  </si>
  <si>
    <t xml:space="preserve">припасовка 1  коронки цельнолитой, всех видов штампованных коронок </t>
  </si>
  <si>
    <t>4.2.34.</t>
  </si>
  <si>
    <t>припасовка одной полукоронки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</si>
  <si>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</si>
  <si>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</si>
  <si>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</si>
  <si>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</si>
  <si>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 xml:space="preserve">4.2.37. </t>
  </si>
  <si>
    <t>сдача несъемной конструкции протеза из расчета на одну единицу</t>
  </si>
  <si>
    <t>4.2.38.</t>
  </si>
  <si>
    <t>коррекция окклюзионных взаимоотношений несъемной конструкции протеза из расчета на одну единицу</t>
  </si>
  <si>
    <t>4.2.39.</t>
  </si>
  <si>
    <t>вкладка композитная, элемент шинирующего протеза</t>
  </si>
  <si>
    <t>4.3.1.</t>
  </si>
  <si>
    <t>4.3.2.</t>
  </si>
  <si>
    <t>4.3.3.</t>
  </si>
  <si>
    <t>оттиск функциональный</t>
  </si>
  <si>
    <t>4.3.4.</t>
  </si>
  <si>
    <t>4.3.5.</t>
  </si>
  <si>
    <t>4.3.6.</t>
  </si>
  <si>
    <t>4.3.7.</t>
  </si>
  <si>
    <t xml:space="preserve">сдача съемного протеза 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</si>
  <si>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</si>
  <si>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</si>
  <si>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</si>
  <si>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</si>
  <si>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</si>
  <si>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</si>
  <si>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</si>
  <si>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</si>
  <si>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</si>
  <si>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</si>
  <si>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</si>
  <si>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</si>
  <si>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</si>
  <si>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</si>
  <si>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</si>
  <si>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6.1.17.</t>
  </si>
  <si>
    <t>6.1.18.</t>
  </si>
  <si>
    <t>6.1.19.</t>
  </si>
  <si>
    <t>6.1.20.</t>
  </si>
  <si>
    <t>6.1.22.</t>
  </si>
  <si>
    <t>6.1.23.</t>
  </si>
  <si>
    <t>6.1.24.</t>
  </si>
  <si>
    <t>6.1.25.</t>
  </si>
  <si>
    <t>изготовление телескопического крепления с использованием штампованных коронок</t>
  </si>
  <si>
    <t>6.1.27.</t>
  </si>
  <si>
    <t>изготовление шины боксерской</t>
  </si>
  <si>
    <t>6.1.28.</t>
  </si>
  <si>
    <t>перебазировка съемного протеза</t>
  </si>
  <si>
    <t>6.1.29.</t>
  </si>
  <si>
    <t>изготовление замкового крепления в съемном пластиночном протезе</t>
  </si>
  <si>
    <t>6.1.30.</t>
  </si>
  <si>
    <t>замена втулки замкового крепления</t>
  </si>
  <si>
    <t>6.1.31.</t>
  </si>
  <si>
    <t>армирование протеза сеткой стандартной</t>
  </si>
  <si>
    <t>6.1.32.</t>
  </si>
  <si>
    <t>изготовление воскового базиса с оклюзионными валиками</t>
  </si>
  <si>
    <t>6.1.33.</t>
  </si>
  <si>
    <t>перепостановка зубов</t>
  </si>
  <si>
    <t>6.3.1.</t>
  </si>
  <si>
    <t>6.3.2.</t>
  </si>
  <si>
    <t>6.9.1.</t>
  </si>
  <si>
    <t>отливка модели из гипса, гипсовой блокформы</t>
  </si>
  <si>
    <t>6.9.9.</t>
  </si>
  <si>
    <t>6.9.10.</t>
  </si>
  <si>
    <t>устранение двух  переломов базиса в протезе</t>
  </si>
  <si>
    <t>6.9.11.</t>
  </si>
  <si>
    <t>6.9.13.</t>
  </si>
  <si>
    <t>6.9.14.</t>
  </si>
  <si>
    <t>изоляция  двух торусов, экзостозов</t>
  </si>
  <si>
    <t>6.9.15.</t>
  </si>
  <si>
    <t>изоляция трех торусов, экзостозов</t>
  </si>
  <si>
    <t>6.9.19.</t>
  </si>
  <si>
    <t>очистка и полировка протеза</t>
  </si>
  <si>
    <t>6.9.20.</t>
  </si>
  <si>
    <t>изготовление вкладки из композиционных материалов</t>
  </si>
  <si>
    <t>6.10.</t>
  </si>
  <si>
    <t>отливка деталей из нержавеющей стали (зуб литой, защитка для фасетки или штифтового зуба, окклюзионная накладка, полукоронка, вкладка, вкладка культевая, штанка по Румпелю, опорная лапка)</t>
  </si>
  <si>
    <t>6.24.1.</t>
  </si>
  <si>
    <t>коронка стальная востановительная, экваторная коронка</t>
  </si>
  <si>
    <t>6.24.2.</t>
  </si>
  <si>
    <t>коронка стальная востановительная с пластмассовой облицовкой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</si>
  <si>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</si>
  <si>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</si>
  <si>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</si>
  <si>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</si>
  <si>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</si>
  <si>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6.24.9.</t>
  </si>
  <si>
    <t>окклюзионная накладка (лапка)</t>
  </si>
  <si>
    <t>исслед-е</t>
  </si>
  <si>
    <t xml:space="preserve">тариф </t>
  </si>
  <si>
    <t>примечание</t>
  </si>
  <si>
    <t xml:space="preserve"> </t>
  </si>
  <si>
    <t>Прейскурант цен на платные стоматологические услуги</t>
  </si>
  <si>
    <t>Наименование услуги</t>
  </si>
  <si>
    <t>2012г.</t>
  </si>
  <si>
    <t>Освидетельствование на допуск к работе</t>
  </si>
  <si>
    <t xml:space="preserve">консультация врача - инфекциониста второй квалификационной категории </t>
  </si>
  <si>
    <t>консультация</t>
  </si>
  <si>
    <t xml:space="preserve">консультация врача - психиатра - нарколога первой квалификационной категории </t>
  </si>
  <si>
    <t xml:space="preserve">консультация врача - хирурга первой квалификационной категории </t>
  </si>
  <si>
    <t>Консультация врачей - специалистов</t>
  </si>
  <si>
    <t>УТВЕРЖДАЮ</t>
  </si>
  <si>
    <t>1.5.</t>
  </si>
  <si>
    <t>1.6.</t>
  </si>
  <si>
    <t>1.8.</t>
  </si>
  <si>
    <t>1.9.</t>
  </si>
  <si>
    <t>1.10.</t>
  </si>
  <si>
    <t>1.11.</t>
  </si>
  <si>
    <t>1.12.</t>
  </si>
  <si>
    <t>1.13.</t>
  </si>
  <si>
    <t>1.16.</t>
  </si>
  <si>
    <t>Осмотры специалистами :</t>
  </si>
  <si>
    <t>Лабораторные исследования</t>
  </si>
  <si>
    <t>2.2.</t>
  </si>
  <si>
    <t>2.3.</t>
  </si>
  <si>
    <t>2.5.</t>
  </si>
  <si>
    <t>2.6.</t>
  </si>
  <si>
    <t>2.7.</t>
  </si>
  <si>
    <t>2.8.</t>
  </si>
  <si>
    <t>2.9.</t>
  </si>
  <si>
    <t>2.11.</t>
  </si>
  <si>
    <t>2.12.</t>
  </si>
  <si>
    <t>2.13.</t>
  </si>
  <si>
    <t>обнаружение белка с сульфосалициловой кислотой</t>
  </si>
  <si>
    <t>микроскопическое исследование осадка в норме</t>
  </si>
  <si>
    <t>подсчет лейкоцитов в счетной камере для негематологических заболеваний</t>
  </si>
  <si>
    <t>микрореакция преципитации (МРП) с кардиолипиновым антигеном с инактивированной нативной сывороткой крови – качественный метод (единичное исследование)</t>
  </si>
  <si>
    <t>3.3.</t>
  </si>
  <si>
    <t>Иммунопрофилактика</t>
  </si>
  <si>
    <t>5.</t>
  </si>
  <si>
    <t>Лечение синдрома отмены алкоголя (медикаментозно)</t>
  </si>
  <si>
    <t>Оказание социальнопсихологической помощи родственникам больного наркологического профиля (по желанию) врачом - наркологом</t>
  </si>
  <si>
    <t>Наркология</t>
  </si>
  <si>
    <t>5.1.</t>
  </si>
  <si>
    <t>5.2.</t>
  </si>
  <si>
    <t>Инструментальная диагностика</t>
  </si>
  <si>
    <t>Ирригоскопия</t>
  </si>
  <si>
    <t>Эхокардиография (М+В режим+доплер+цветное картирование</t>
  </si>
  <si>
    <t>Ультрозвуковая доплерография (УЗГД) одного артериального бассейна (брахиоцефальных артерий или артерий верхних конечностей или артерий нижних конечностей</t>
  </si>
  <si>
    <t>Ультрозвуковая доплерография (УЗГД) одного венозного бассейна (брахиоцефальных вен или вен верхних конечностей или вен нижних конечностей</t>
  </si>
  <si>
    <t>6.2.</t>
  </si>
  <si>
    <t>6.3.</t>
  </si>
  <si>
    <t>6.4.</t>
  </si>
  <si>
    <t>Ультразвуковое исследование органов брюшной полости: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</si>
  <si>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</si>
  <si>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</si>
  <si>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</si>
  <si>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Поджелудочная железа с контрастирова-нием</t>
  </si>
  <si>
    <t>Селезенка</t>
  </si>
  <si>
    <t xml:space="preserve">Кишечник без заполнения жидкостью </t>
  </si>
  <si>
    <t>Желудок с заполнением жидкостью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</si>
  <si>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</si>
  <si>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</si>
  <si>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</si>
  <si>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</si>
  <si>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</si>
  <si>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</si>
  <si>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пузырём и определением остаточной мочи (транс-абдоминально)</t>
  </si>
  <si>
    <t>Предстательная железа (трансректально)</t>
  </si>
  <si>
    <t>Мошонка</t>
  </si>
  <si>
    <t>Половой член</t>
  </si>
  <si>
    <t>Матка и придатки с мочевым пузырём (трансабдоми-нально)</t>
  </si>
  <si>
    <t>Матка и придатки (трансвагинально)</t>
  </si>
  <si>
    <t>Плод в I триместре до 11 недель беременности</t>
  </si>
  <si>
    <t>Плод в I триместре с 11 до 14 недель беременности</t>
  </si>
  <si>
    <t>Плод в II и III триместрах беременности</t>
  </si>
  <si>
    <t>Плод в I триместре с 11 до 14 недель беременности или в II или III триместрах беременности при наличии пороков плода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</si>
  <si>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</si>
  <si>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</si>
  <si>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</si>
  <si>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</si>
  <si>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6.5.</t>
  </si>
  <si>
    <t>6.6.</t>
  </si>
  <si>
    <t>6.7.</t>
  </si>
  <si>
    <t>6.8.</t>
  </si>
  <si>
    <t>6.9.</t>
  </si>
  <si>
    <t>6.11.</t>
  </si>
  <si>
    <t>6.12.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</si>
  <si>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</si>
  <si>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</si>
  <si>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</si>
  <si>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</si>
  <si>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</si>
  <si>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</si>
  <si>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</si>
  <si>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</si>
  <si>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</si>
  <si>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</si>
  <si>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</si>
  <si>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</si>
  <si>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</si>
  <si>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</si>
  <si>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</si>
  <si>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</si>
  <si>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</si>
  <si>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рентгеноскопия органов грудной полости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</si>
  <si>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</si>
  <si>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</si>
  <si>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</si>
  <si>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</si>
  <si>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первый снимок</t>
  </si>
  <si>
    <t>каждый последующий</t>
  </si>
  <si>
    <t>рентгенография сердца с контрастированным пищеводом</t>
  </si>
  <si>
    <t>рентгенография гортани (обзорная)</t>
  </si>
  <si>
    <t>рентгенография гортани с контрастированием</t>
  </si>
  <si>
    <t>флюорография профилактическая:</t>
  </si>
  <si>
    <t>флюорография диагностическая:</t>
  </si>
  <si>
    <t>анализ флюорограммы врачом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</si>
  <si>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</si>
  <si>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</si>
  <si>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</si>
  <si>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</si>
  <si>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</si>
  <si>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</si>
  <si>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</si>
  <si>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</si>
  <si>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Перечень</t>
  </si>
  <si>
    <t>СОГЛАСОВАНО                                                                       УТВЕРЖДАЮ</t>
  </si>
  <si>
    <t xml:space="preserve">Могилевского облисполкома                                                     центральная районная больница"                                               </t>
  </si>
  <si>
    <t>"______"</t>
  </si>
  <si>
    <t>Е.М. Ишутина</t>
  </si>
  <si>
    <t>Главный врач                           Е.М. Ишутина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</si>
  <si>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</si>
  <si>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r>
      <t xml:space="preserve">отдельных видов платных медицинских услуг, оказываемых работниками УЗ "Хотимская центральная районная больница", содержащимися за счет бюджетной сметы, в их основное рабочее время на общих площадях </t>
    </r>
    <r>
      <rPr>
        <b/>
        <sz val="12"/>
        <rFont val="Times New Roman"/>
        <family val="1"/>
      </rPr>
      <t>на 2019 год</t>
    </r>
  </si>
  <si>
    <t xml:space="preserve">Начальник управления по здравоохранению                              Главный врач УЗ "Хотимская                                    </t>
  </si>
  <si>
    <t>_____________А.Д. Жилин                                                      _______________Е.М. Ишутина</t>
  </si>
  <si>
    <t>____________2019г                                                  "____"________</t>
  </si>
  <si>
    <t>_______2019г</t>
  </si>
  <si>
    <t>2.14.</t>
  </si>
  <si>
    <t>биохимические исследования сыворотки крови с использованием многоканальных биохимических автоанализаторов средней производительности с неавтоматической регистрацией результатов исследованиий</t>
  </si>
  <si>
    <t>2.15.</t>
  </si>
  <si>
    <t>исследование состояния гемостаза; обработка венозной крови для получения плазмы бестромбоцитарной</t>
  </si>
  <si>
    <t>определение активированного частичного тромбопластинового времени (далее-АЧТВ)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</si>
  <si>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</si>
  <si>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2.16.</t>
  </si>
  <si>
    <t>2.18.</t>
  </si>
  <si>
    <t>2.19.</t>
  </si>
  <si>
    <t>иммунологические исследования: определение группы крови по системе АВ0 перекрестным способом с использованием изогемагглютинирующих сывороток и стандартных эритроцитов в венозной крови</t>
  </si>
  <si>
    <t>определение резус-фактора экспресс-медодом в приборах без подогрева в венозной крови</t>
  </si>
  <si>
    <t>выявление неполных аллоимунных антиэритроцитарных антител методом конглютинации с применением 10-ти% раствора желатина</t>
  </si>
  <si>
    <t>определение полных антител в реакции агглюцинации в солевой среде</t>
  </si>
  <si>
    <t>диагностика сифилиса: МРП с кардиолипиновым антигеном с анактивированной нативной сывороткой крови-качественный метод (один в серии)</t>
  </si>
  <si>
    <t>2.20.</t>
  </si>
  <si>
    <t>2.21.</t>
  </si>
  <si>
    <t>2.22.</t>
  </si>
  <si>
    <t>РПГА с одним диагностикумом-качественный метод</t>
  </si>
  <si>
    <t>Главный бухгалтер                                          И.Н. Антипенко</t>
  </si>
  <si>
    <t>1.2.9.</t>
  </si>
  <si>
    <t>удаление зубных отложений ультразвуковым скейлером с одного зуба</t>
  </si>
  <si>
    <t>№ п/п</t>
  </si>
  <si>
    <t>Еденица измерения</t>
  </si>
  <si>
    <t xml:space="preserve">                           Е.М. Ишутина</t>
  </si>
  <si>
    <t>прием и регистрация проб</t>
  </si>
  <si>
    <t>обработка крови для получения:</t>
  </si>
  <si>
    <t>1.5.1.</t>
  </si>
  <si>
    <t>сыворотки</t>
  </si>
  <si>
    <t>Биохимические исследованния:</t>
  </si>
  <si>
    <t>исследование крови:</t>
  </si>
  <si>
    <t>5.1.1.</t>
  </si>
  <si>
    <t>исследование сыворотки (плазмы) крови:</t>
  </si>
  <si>
    <t>5.1.1.3.</t>
  </si>
  <si>
    <t>проведение исследованиий с использованием многоканальных биохим-х автоанализаторов:</t>
  </si>
  <si>
    <t>5.1.1.3.2.</t>
  </si>
  <si>
    <t>средней производительности (производитель-ность - от 100 до 300 исследований в час):</t>
  </si>
  <si>
    <t>5.1.1.3.2.1.</t>
  </si>
  <si>
    <t>с неавтоматизированной регистрацией результатов исследований</t>
  </si>
  <si>
    <t>Исследование состояния гемостаза</t>
  </si>
  <si>
    <t>отдельные манипуляции,калибровка и контроль качества исследований:</t>
  </si>
  <si>
    <t xml:space="preserve">обработка венозной крови  для получения плазмы: </t>
  </si>
  <si>
    <t>6.1.1.2</t>
  </si>
  <si>
    <t>бестромбоцитарной</t>
  </si>
  <si>
    <t>локальные (специфические) тесты:</t>
  </si>
  <si>
    <t>исследование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</si>
  <si>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</si>
  <si>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</si>
  <si>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</si>
  <si>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</si>
  <si>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</si>
  <si>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6.3.2.2.1.3.</t>
  </si>
  <si>
    <t xml:space="preserve">Иммунологические исследования </t>
  </si>
  <si>
    <t>Иммуногематология:</t>
  </si>
  <si>
    <t>7.5.2.</t>
  </si>
  <si>
    <t>определение группы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</si>
  <si>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</si>
  <si>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в венозной крови</t>
  </si>
  <si>
    <t>7.5.4.</t>
  </si>
  <si>
    <t>определение резус-фактора экспресс-медодом в приборах без подогрева:</t>
  </si>
  <si>
    <t>7.5.4.2.</t>
  </si>
  <si>
    <t>7.5.5.</t>
  </si>
  <si>
    <t>7.5.6.</t>
  </si>
  <si>
    <t>7.26.</t>
  </si>
  <si>
    <t>диагностика сифилиса</t>
  </si>
  <si>
    <t>7.26.2.</t>
  </si>
  <si>
    <t>микрореакция преципитации (далее-МРП) с кардиолипиновым антигеном:</t>
  </si>
  <si>
    <t>7.26.2.2.</t>
  </si>
  <si>
    <t>МРП с кардиолипиновым антигеном с анактивированной нативной сывороткой крови-качественный метод (один в серии)</t>
  </si>
  <si>
    <t>7.26.3.</t>
  </si>
  <si>
    <t xml:space="preserve">РПГА с одним диагностикумом: </t>
  </si>
  <si>
    <t>7.26.3.1.</t>
  </si>
  <si>
    <t>РПГА с одним диагностикумом - качественный метод</t>
  </si>
  <si>
    <t>7.5.</t>
  </si>
  <si>
    <t>Экономист                                  Т. В. Быкова</t>
  </si>
  <si>
    <t>для граждан Республики Беларусь</t>
  </si>
  <si>
    <t>Тариф без учета НДС, руб.коп.</t>
  </si>
  <si>
    <t>Тариф с учетом НДС, руб.коп.</t>
  </si>
  <si>
    <r>
      <t xml:space="preserve">" </t>
    </r>
    <r>
      <rPr>
        <u val="single"/>
        <sz val="10"/>
        <rFont val="Arial"/>
        <family val="2"/>
      </rPr>
      <t xml:space="preserve"> 26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октября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2018 года</t>
    </r>
  </si>
  <si>
    <t>изготовление коронки литой, экваторной</t>
  </si>
  <si>
    <r>
      <t>" 30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" января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2020г</t>
    </r>
  </si>
  <si>
    <t>Экономист                                           Н.Л.Глякова</t>
  </si>
  <si>
    <t>Экономист                                      Н.Л.Глякова</t>
  </si>
  <si>
    <t>Сравнительная аналитическая таблица на платные медицинские услуги "Осмотры специалистами" по УЗ "Хотимская ЦРБ" на 2021г.</t>
  </si>
  <si>
    <t>Ранее действовавший, без учета НДС</t>
  </si>
  <si>
    <t>Предлагаемый к регистрации в целях недопущения резкого роста цен, руб., без учета НДС</t>
  </si>
  <si>
    <t>Предлагаемый к регистрации в целях недопущения резкого роста цен, руб., с учетом НДС</t>
  </si>
  <si>
    <t>Изменение в %</t>
  </si>
  <si>
    <r>
      <t xml:space="preserve">" </t>
    </r>
    <r>
      <rPr>
        <u val="single"/>
        <sz val="10"/>
        <rFont val="Arial"/>
        <family val="2"/>
      </rPr>
      <t xml:space="preserve"> 04 </t>
    </r>
    <r>
      <rPr>
        <sz val="10"/>
        <rFont val="Arial"/>
        <family val="0"/>
      </rPr>
      <t>" января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2021 года</t>
    </r>
  </si>
  <si>
    <t>Ранее действовавший тариф с учетом НДС, руб.коп.</t>
  </si>
  <si>
    <t>Приложение №1</t>
  </si>
  <si>
    <t>к приказу №_____ от ________20____г.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</si>
</sst>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[$-FC19]d\ mmmm\ yyyy\ &quot;г.&quot;"/>
    <numFmt numFmtId="197" formatCode="0.000000"/>
    <numFmt numFmtId="198" formatCode="0.00000000"/>
    <numFmt numFmtId="199" formatCode="0.0000000"/>
    <numFmt numFmtId="200" formatCode="0.000%"/>
    <numFmt numFmtId="201" formatCode="0.0%"/>
  </numFmts>
  <fonts count="61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16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1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14" fontId="8" fillId="0" borderId="11" xfId="0" applyNumberFormat="1" applyFont="1" applyBorder="1" applyAlignment="1">
      <alignment vertical="top"/>
    </xf>
    <xf numFmtId="14" fontId="8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88" fontId="0" fillId="0" borderId="11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 applyProtection="1">
      <alignment vertical="top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8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10" xfId="0" applyNumberFormat="1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49" fontId="55" fillId="0" borderId="10" xfId="0" applyNumberFormat="1" applyFont="1" applyBorder="1" applyAlignment="1">
      <alignment vertical="top" wrapText="1"/>
    </xf>
    <xf numFmtId="49" fontId="55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0" fontId="56" fillId="0" borderId="10" xfId="0" applyFont="1" applyBorder="1" applyAlignment="1">
      <alignment/>
    </xf>
    <xf numFmtId="49" fontId="56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2" fontId="59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 vertical="center"/>
    </xf>
    <xf numFmtId="2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57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58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vertical="justify" wrapText="1"/>
    </xf>
    <xf numFmtId="0" fontId="0" fillId="0" borderId="18" xfId="0" applyBorder="1" applyAlignment="1">
      <alignment vertical="justify"/>
    </xf>
    <xf numFmtId="49" fontId="58" fillId="0" borderId="11" xfId="0" applyNumberFormat="1" applyFont="1" applyBorder="1" applyAlignment="1">
      <alignment vertical="top"/>
    </xf>
    <xf numFmtId="49" fontId="58" fillId="0" borderId="11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59" fillId="0" borderId="11" xfId="0" applyNumberFormat="1" applyFont="1" applyBorder="1" applyAlignment="1">
      <alignment vertical="center"/>
    </xf>
    <xf numFmtId="2" fontId="59" fillId="0" borderId="12" xfId="0" applyNumberFormat="1" applyFont="1" applyBorder="1" applyAlignment="1">
      <alignment vertical="center"/>
    </xf>
    <xf numFmtId="2" fontId="59" fillId="0" borderId="13" xfId="0" applyNumberFormat="1" applyFont="1" applyBorder="1" applyAlignment="1">
      <alignment vertical="center"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6.28125" style="0" customWidth="1"/>
    <col min="2" max="2" width="92.7109375" style="0" customWidth="1"/>
    <col min="3" max="3" width="13.421875" style="0" customWidth="1"/>
    <col min="4" max="4" width="9.8515625" style="0" customWidth="1"/>
  </cols>
  <sheetData>
    <row r="1" spans="1:5" ht="12.75" customHeight="1">
      <c r="A1" s="2"/>
      <c r="B1" s="2"/>
      <c r="C1" s="131" t="s">
        <v>0</v>
      </c>
      <c r="D1" s="131"/>
      <c r="E1" s="131"/>
    </row>
    <row r="2" spans="1:5" ht="12.75">
      <c r="A2" s="2"/>
      <c r="B2" s="2"/>
      <c r="C2" s="132" t="s">
        <v>262</v>
      </c>
      <c r="D2" s="132"/>
      <c r="E2" s="132"/>
    </row>
    <row r="3" spans="1:5" ht="12.75">
      <c r="A3" s="2"/>
      <c r="B3" s="2"/>
      <c r="C3" s="132" t="s">
        <v>1</v>
      </c>
      <c r="D3" s="132"/>
      <c r="E3" s="132"/>
    </row>
    <row r="4" spans="1:5" ht="12.75">
      <c r="A4" s="2"/>
      <c r="B4" s="2"/>
      <c r="C4" t="s">
        <v>263</v>
      </c>
      <c r="D4" t="s">
        <v>264</v>
      </c>
      <c r="E4" t="s">
        <v>634</v>
      </c>
    </row>
    <row r="5" spans="1:6" ht="32.25" customHeight="1">
      <c r="A5" s="2"/>
      <c r="B5" s="134" t="s">
        <v>314</v>
      </c>
      <c r="C5" s="134"/>
      <c r="D5" s="134"/>
      <c r="E5" s="134"/>
      <c r="F5" s="2"/>
    </row>
    <row r="6" spans="1:5" ht="36.75" customHeight="1">
      <c r="A6" s="1" t="s">
        <v>26</v>
      </c>
      <c r="B6" s="1" t="s">
        <v>27</v>
      </c>
      <c r="C6" s="4" t="s">
        <v>260</v>
      </c>
      <c r="D6" s="5" t="s">
        <v>9</v>
      </c>
      <c r="E6" s="6" t="s">
        <v>261</v>
      </c>
    </row>
    <row r="7" spans="1:5" ht="12.75">
      <c r="A7" s="1">
        <v>1</v>
      </c>
      <c r="B7" s="1">
        <v>2</v>
      </c>
      <c r="C7" s="1">
        <v>3</v>
      </c>
      <c r="D7" s="1">
        <v>5</v>
      </c>
      <c r="E7" s="1">
        <v>6</v>
      </c>
    </row>
    <row r="8" spans="1:5" ht="12.75">
      <c r="A8" s="1">
        <v>1</v>
      </c>
      <c r="B8" s="7" t="s">
        <v>28</v>
      </c>
      <c r="C8" s="1"/>
      <c r="D8" s="1"/>
      <c r="E8" s="1"/>
    </row>
    <row r="9" spans="1:5" ht="12.75" customHeight="1">
      <c r="A9" s="1" t="s">
        <v>29</v>
      </c>
      <c r="B9" s="4" t="s">
        <v>30</v>
      </c>
      <c r="C9" s="1" t="s">
        <v>315</v>
      </c>
      <c r="D9" s="1">
        <v>3300</v>
      </c>
      <c r="E9" s="1"/>
    </row>
    <row r="10" spans="1:5" ht="12.75">
      <c r="A10" s="1" t="s">
        <v>31</v>
      </c>
      <c r="B10" s="4" t="s">
        <v>32</v>
      </c>
      <c r="C10" s="1" t="s">
        <v>315</v>
      </c>
      <c r="D10" s="1">
        <v>2200</v>
      </c>
      <c r="E10" s="1"/>
    </row>
    <row r="11" spans="1:5" ht="12.75">
      <c r="A11" s="1" t="s">
        <v>33</v>
      </c>
      <c r="B11" s="4" t="s">
        <v>34</v>
      </c>
      <c r="C11" s="1" t="s">
        <v>315</v>
      </c>
      <c r="D11" s="1">
        <v>1350</v>
      </c>
      <c r="E11" s="1"/>
    </row>
    <row r="12" spans="1:5" ht="12.75">
      <c r="A12" s="1" t="s">
        <v>35</v>
      </c>
      <c r="B12" s="4" t="s">
        <v>36</v>
      </c>
      <c r="C12" s="1" t="s">
        <v>315</v>
      </c>
      <c r="D12" s="1">
        <v>1600</v>
      </c>
      <c r="E12" s="1"/>
    </row>
    <row r="13" spans="1:5" ht="12.75">
      <c r="A13" s="1" t="s">
        <v>37</v>
      </c>
      <c r="B13" s="4" t="s">
        <v>38</v>
      </c>
      <c r="C13" s="1" t="s">
        <v>315</v>
      </c>
      <c r="D13" s="1">
        <v>550</v>
      </c>
      <c r="E13" s="1"/>
    </row>
    <row r="14" spans="1:5" ht="12.75" customHeight="1">
      <c r="A14" s="1" t="s">
        <v>39</v>
      </c>
      <c r="B14" s="4" t="s">
        <v>40</v>
      </c>
      <c r="C14" s="1" t="s">
        <v>315</v>
      </c>
      <c r="D14" s="1">
        <v>1150</v>
      </c>
      <c r="E14" s="1"/>
    </row>
    <row r="15" spans="1:5" ht="12.75">
      <c r="A15" s="1" t="s">
        <v>41</v>
      </c>
      <c r="B15" s="4" t="s">
        <v>42</v>
      </c>
      <c r="C15" s="1" t="s">
        <v>315</v>
      </c>
      <c r="D15" s="1">
        <v>850</v>
      </c>
      <c r="E15" s="1"/>
    </row>
    <row r="16" spans="1:5" ht="12.75">
      <c r="A16" s="1" t="s">
        <v>43</v>
      </c>
      <c r="B16" s="4" t="s">
        <v>44</v>
      </c>
      <c r="C16" s="1" t="s">
        <v>315</v>
      </c>
      <c r="D16" s="1">
        <v>650</v>
      </c>
      <c r="E16" s="1"/>
    </row>
    <row r="17" spans="1:5" ht="12.75">
      <c r="A17" s="1" t="s">
        <v>45</v>
      </c>
      <c r="B17" s="4" t="s">
        <v>46</v>
      </c>
      <c r="C17" s="1" t="s">
        <v>315</v>
      </c>
      <c r="D17" s="1">
        <v>2800</v>
      </c>
      <c r="E17" s="1"/>
    </row>
    <row r="18" spans="1:5" ht="12.75">
      <c r="A18" s="1" t="s">
        <v>47</v>
      </c>
      <c r="B18" s="4" t="s">
        <v>48</v>
      </c>
      <c r="C18" s="1" t="s">
        <v>315</v>
      </c>
      <c r="D18" s="1">
        <v>1150</v>
      </c>
      <c r="E18" s="1"/>
    </row>
    <row r="19" spans="1:5" ht="12.75">
      <c r="A19" s="1" t="s">
        <v>49</v>
      </c>
      <c r="B19" s="4" t="s">
        <v>50</v>
      </c>
      <c r="C19" s="1" t="s">
        <v>315</v>
      </c>
      <c r="D19" s="1">
        <v>650</v>
      </c>
      <c r="E19" s="1"/>
    </row>
    <row r="20" spans="1:5" ht="12.75">
      <c r="A20" s="1" t="s">
        <v>51</v>
      </c>
      <c r="B20" s="4" t="s">
        <v>52</v>
      </c>
      <c r="C20" s="1" t="s">
        <v>315</v>
      </c>
      <c r="D20" s="1">
        <v>650</v>
      </c>
      <c r="E20" s="1"/>
    </row>
    <row r="21" spans="1:5" ht="12.75">
      <c r="A21" s="1" t="s">
        <v>53</v>
      </c>
      <c r="B21" s="4" t="s">
        <v>54</v>
      </c>
      <c r="C21" s="1" t="s">
        <v>315</v>
      </c>
      <c r="D21" s="1">
        <v>5200</v>
      </c>
      <c r="E21" s="1"/>
    </row>
    <row r="22" spans="1:5" ht="12.75">
      <c r="A22" s="1" t="s">
        <v>55</v>
      </c>
      <c r="B22" s="4" t="s">
        <v>56</v>
      </c>
      <c r="C22" s="1" t="s">
        <v>315</v>
      </c>
      <c r="D22" s="1">
        <v>900</v>
      </c>
      <c r="E22" s="1"/>
    </row>
    <row r="23" spans="1:5" ht="12.75">
      <c r="A23" s="1" t="s">
        <v>57</v>
      </c>
      <c r="B23" s="4" t="s">
        <v>58</v>
      </c>
      <c r="C23" s="1" t="s">
        <v>315</v>
      </c>
      <c r="D23" s="1">
        <v>1950</v>
      </c>
      <c r="E23" s="1"/>
    </row>
    <row r="24" spans="1:5" ht="12.75">
      <c r="A24" s="1" t="s">
        <v>59</v>
      </c>
      <c r="B24" s="4" t="s">
        <v>60</v>
      </c>
      <c r="C24" s="1" t="s">
        <v>315</v>
      </c>
      <c r="D24" s="1">
        <v>2900</v>
      </c>
      <c r="E24" s="1"/>
    </row>
    <row r="25" spans="1:5" ht="12.75" customHeight="1">
      <c r="A25" s="1" t="s">
        <v>61</v>
      </c>
      <c r="B25" s="7" t="s">
        <v>62</v>
      </c>
      <c r="C25" s="1"/>
      <c r="D25" s="1"/>
      <c r="E25" s="1"/>
    </row>
    <row r="26" spans="1:5" ht="12.75" customHeight="1">
      <c r="A26" s="1" t="s">
        <v>63</v>
      </c>
      <c r="B26" s="4" t="s">
        <v>64</v>
      </c>
      <c r="C26" s="1" t="s">
        <v>315</v>
      </c>
      <c r="D26" s="1">
        <v>1650</v>
      </c>
      <c r="E26" s="1"/>
    </row>
    <row r="27" spans="1:5" ht="15" customHeight="1">
      <c r="A27" s="1" t="s">
        <v>65</v>
      </c>
      <c r="B27" s="4" t="s">
        <v>66</v>
      </c>
      <c r="C27" s="1" t="s">
        <v>315</v>
      </c>
      <c r="D27" s="1">
        <v>2500</v>
      </c>
      <c r="E27" s="1"/>
    </row>
    <row r="28" spans="1:5" ht="16.5" customHeight="1">
      <c r="A28" s="1" t="s">
        <v>67</v>
      </c>
      <c r="B28" s="4" t="s">
        <v>68</v>
      </c>
      <c r="C28" s="1" t="s">
        <v>315</v>
      </c>
      <c r="D28" s="1">
        <v>3900</v>
      </c>
      <c r="E28" s="1"/>
    </row>
    <row r="29" spans="1:5" ht="15" customHeight="1">
      <c r="A29" s="1" t="s">
        <v>69</v>
      </c>
      <c r="B29" s="4" t="s">
        <v>70</v>
      </c>
      <c r="C29" s="1" t="s">
        <v>315</v>
      </c>
      <c r="D29" s="1">
        <v>4800</v>
      </c>
      <c r="E29" s="1"/>
    </row>
    <row r="30" spans="1:5" ht="12.75" customHeight="1">
      <c r="A30" s="1" t="s">
        <v>71</v>
      </c>
      <c r="B30" s="4" t="s">
        <v>72</v>
      </c>
      <c r="C30" s="1" t="s">
        <v>315</v>
      </c>
      <c r="D30" s="1">
        <v>650</v>
      </c>
      <c r="E30" s="1"/>
    </row>
    <row r="31" spans="1:5" ht="12.75">
      <c r="A31" s="1" t="s">
        <v>73</v>
      </c>
      <c r="B31" s="4" t="s">
        <v>74</v>
      </c>
      <c r="C31" s="1" t="s">
        <v>315</v>
      </c>
      <c r="D31" s="1">
        <v>2500</v>
      </c>
      <c r="E31" s="1"/>
    </row>
    <row r="32" spans="1:5" ht="12.75">
      <c r="A32" s="1" t="s">
        <v>75</v>
      </c>
      <c r="B32" s="4" t="s">
        <v>76</v>
      </c>
      <c r="C32" s="1" t="s">
        <v>315</v>
      </c>
      <c r="D32" s="1">
        <v>4450</v>
      </c>
      <c r="E32" s="1"/>
    </row>
    <row r="33" spans="1:5" ht="12.75">
      <c r="A33" s="1" t="s">
        <v>77</v>
      </c>
      <c r="B33" s="4" t="s">
        <v>78</v>
      </c>
      <c r="C33" s="1" t="s">
        <v>315</v>
      </c>
      <c r="D33" s="1">
        <v>700</v>
      </c>
      <c r="E33" s="1"/>
    </row>
    <row r="34" spans="1:5" ht="12.75">
      <c r="A34" s="1" t="s">
        <v>79</v>
      </c>
      <c r="B34" s="4" t="s">
        <v>80</v>
      </c>
      <c r="C34" s="1" t="s">
        <v>315</v>
      </c>
      <c r="D34" s="1">
        <v>1950</v>
      </c>
      <c r="E34" s="1"/>
    </row>
    <row r="35" spans="1:5" ht="12.75">
      <c r="A35" s="1" t="s">
        <v>81</v>
      </c>
      <c r="B35" s="4" t="s">
        <v>82</v>
      </c>
      <c r="C35" s="1" t="s">
        <v>315</v>
      </c>
      <c r="D35" s="1">
        <v>4200</v>
      </c>
      <c r="E35" s="1"/>
    </row>
    <row r="36" spans="1:5" ht="12.75">
      <c r="A36" s="1" t="s">
        <v>83</v>
      </c>
      <c r="B36" s="4" t="s">
        <v>84</v>
      </c>
      <c r="C36" s="1" t="s">
        <v>315</v>
      </c>
      <c r="D36" s="1">
        <v>750</v>
      </c>
      <c r="E36" s="1"/>
    </row>
    <row r="37" spans="1:5" ht="12.75">
      <c r="A37" s="1" t="s">
        <v>85</v>
      </c>
      <c r="B37" s="4" t="s">
        <v>86</v>
      </c>
      <c r="C37" s="1" t="s">
        <v>315</v>
      </c>
      <c r="D37" s="1">
        <v>750</v>
      </c>
      <c r="E37" s="1"/>
    </row>
    <row r="38" spans="1:5" ht="12.75">
      <c r="A38" s="1" t="s">
        <v>87</v>
      </c>
      <c r="B38" s="4" t="s">
        <v>88</v>
      </c>
      <c r="C38" s="1" t="s">
        <v>315</v>
      </c>
      <c r="D38" s="1">
        <v>1050</v>
      </c>
      <c r="E38" s="1"/>
    </row>
    <row r="39" spans="1:5" ht="15.75" customHeight="1">
      <c r="A39" s="1" t="s">
        <v>89</v>
      </c>
      <c r="B39" s="4" t="s">
        <v>90</v>
      </c>
      <c r="C39" s="1" t="s">
        <v>315</v>
      </c>
      <c r="D39" s="1">
        <v>4100</v>
      </c>
      <c r="E39" s="1"/>
    </row>
    <row r="40" spans="1:5" ht="12.75">
      <c r="A40" s="1" t="s">
        <v>91</v>
      </c>
      <c r="B40" s="4" t="s">
        <v>92</v>
      </c>
      <c r="C40" s="1" t="s">
        <v>315</v>
      </c>
      <c r="D40" s="1">
        <v>700</v>
      </c>
      <c r="E40" s="1"/>
    </row>
    <row r="41" spans="1:5" ht="12.75">
      <c r="A41" s="1" t="s">
        <v>93</v>
      </c>
      <c r="B41" s="4" t="s">
        <v>94</v>
      </c>
      <c r="C41" s="1" t="s">
        <v>315</v>
      </c>
      <c r="D41" s="1">
        <v>7000</v>
      </c>
      <c r="E41" s="1"/>
    </row>
    <row r="42" spans="1:5" ht="12.75">
      <c r="A42" s="1" t="s">
        <v>95</v>
      </c>
      <c r="B42" s="4" t="s">
        <v>96</v>
      </c>
      <c r="C42" s="1" t="s">
        <v>315</v>
      </c>
      <c r="D42" s="1">
        <v>1700</v>
      </c>
      <c r="E42" s="1"/>
    </row>
    <row r="43" spans="1:5" ht="12.75">
      <c r="A43" s="1" t="s">
        <v>97</v>
      </c>
      <c r="B43" s="4" t="s">
        <v>98</v>
      </c>
      <c r="C43" s="1" t="s">
        <v>315</v>
      </c>
      <c r="D43" s="1">
        <v>3350</v>
      </c>
      <c r="E43" s="1"/>
    </row>
    <row r="44" spans="1:5" ht="16.5" customHeight="1">
      <c r="A44" s="1" t="s">
        <v>99</v>
      </c>
      <c r="B44" s="4" t="s">
        <v>100</v>
      </c>
      <c r="C44" s="1" t="s">
        <v>315</v>
      </c>
      <c r="D44" s="1">
        <v>1850</v>
      </c>
      <c r="E44" s="1"/>
    </row>
    <row r="45" spans="1:5" ht="17.25" customHeight="1">
      <c r="A45" s="1"/>
      <c r="B45" s="4" t="s">
        <v>101</v>
      </c>
      <c r="C45" s="1"/>
      <c r="D45" s="1"/>
      <c r="E45" s="1"/>
    </row>
    <row r="46" spans="1:5" ht="15" customHeight="1">
      <c r="A46" s="1"/>
      <c r="B46" s="4" t="s">
        <v>102</v>
      </c>
      <c r="C46" s="1"/>
      <c r="D46" s="1"/>
      <c r="E46" s="1"/>
    </row>
    <row r="47" spans="1:5" ht="12.75">
      <c r="A47" s="1"/>
      <c r="B47" s="4" t="s">
        <v>103</v>
      </c>
      <c r="C47" s="1"/>
      <c r="D47" s="1"/>
      <c r="E47" s="1"/>
    </row>
    <row r="48" spans="1:5" ht="15" customHeight="1">
      <c r="A48" s="1" t="s">
        <v>104</v>
      </c>
      <c r="B48" s="4" t="s">
        <v>100</v>
      </c>
      <c r="C48" s="1" t="s">
        <v>315</v>
      </c>
      <c r="D48" s="1">
        <v>2400</v>
      </c>
      <c r="E48" s="1"/>
    </row>
    <row r="49" spans="1:5" ht="13.5" customHeight="1">
      <c r="A49" s="1"/>
      <c r="B49" s="4" t="s">
        <v>101</v>
      </c>
      <c r="C49" s="1"/>
      <c r="D49" s="1"/>
      <c r="E49" s="1"/>
    </row>
    <row r="50" spans="1:5" ht="15.75" customHeight="1">
      <c r="A50" s="1"/>
      <c r="B50" s="4" t="s">
        <v>105</v>
      </c>
      <c r="C50" s="1"/>
      <c r="D50" s="1"/>
      <c r="E50" s="1"/>
    </row>
    <row r="51" spans="1:5" ht="12.75">
      <c r="A51" s="1"/>
      <c r="B51" s="4" t="s">
        <v>106</v>
      </c>
      <c r="C51" s="1"/>
      <c r="D51" s="1"/>
      <c r="E51" s="1"/>
    </row>
    <row r="52" spans="1:5" ht="18.75" customHeight="1">
      <c r="A52" s="1" t="s">
        <v>107</v>
      </c>
      <c r="B52" s="4" t="s">
        <v>100</v>
      </c>
      <c r="C52" s="1" t="s">
        <v>315</v>
      </c>
      <c r="D52" s="1">
        <v>3350</v>
      </c>
      <c r="E52" s="1"/>
    </row>
    <row r="53" spans="1:5" ht="15.75" customHeight="1">
      <c r="A53" s="1"/>
      <c r="B53" s="4" t="s">
        <v>101</v>
      </c>
      <c r="C53" s="1"/>
      <c r="D53" s="1"/>
      <c r="E53" s="1"/>
    </row>
    <row r="54" spans="1:5" ht="16.5" customHeight="1">
      <c r="A54" s="1"/>
      <c r="B54" s="4" t="s">
        <v>105</v>
      </c>
      <c r="C54" s="1"/>
      <c r="D54" s="1"/>
      <c r="E54" s="1"/>
    </row>
    <row r="55" spans="1:5" ht="12.75">
      <c r="A55" s="1"/>
      <c r="B55" s="4" t="s">
        <v>108</v>
      </c>
      <c r="C55" s="1"/>
      <c r="D55" s="1"/>
      <c r="E55" s="1"/>
    </row>
    <row r="56" spans="1:5" ht="16.5" customHeight="1">
      <c r="A56" s="1" t="s">
        <v>109</v>
      </c>
      <c r="B56" s="4" t="s">
        <v>100</v>
      </c>
      <c r="C56" s="1" t="s">
        <v>315</v>
      </c>
      <c r="D56" s="1">
        <v>4300</v>
      </c>
      <c r="E56" s="1"/>
    </row>
    <row r="57" spans="1:5" ht="17.25" customHeight="1">
      <c r="A57" s="1"/>
      <c r="B57" s="4" t="s">
        <v>101</v>
      </c>
      <c r="C57" s="1"/>
      <c r="D57" s="1"/>
      <c r="E57" s="1"/>
    </row>
    <row r="58" spans="1:5" ht="18" customHeight="1">
      <c r="A58" s="1"/>
      <c r="B58" s="4" t="s">
        <v>105</v>
      </c>
      <c r="C58" s="1"/>
      <c r="D58" s="1"/>
      <c r="E58" s="1"/>
    </row>
    <row r="59" spans="1:5" ht="12.75">
      <c r="A59" s="1"/>
      <c r="B59" s="4" t="s">
        <v>110</v>
      </c>
      <c r="C59" s="1"/>
      <c r="D59" s="1"/>
      <c r="E59" s="1"/>
    </row>
    <row r="60" spans="1:5" ht="15.75" customHeight="1">
      <c r="A60" s="1" t="s">
        <v>111</v>
      </c>
      <c r="B60" s="4" t="s">
        <v>112</v>
      </c>
      <c r="C60" s="1" t="s">
        <v>315</v>
      </c>
      <c r="D60" s="1">
        <v>2750</v>
      </c>
      <c r="E60" s="1"/>
    </row>
    <row r="61" spans="1:5" ht="15.75" customHeight="1">
      <c r="A61" s="1"/>
      <c r="B61" s="4" t="s">
        <v>101</v>
      </c>
      <c r="C61" s="1"/>
      <c r="D61" s="1"/>
      <c r="E61" s="1"/>
    </row>
    <row r="62" spans="1:5" ht="15.75" customHeight="1">
      <c r="A62" s="1"/>
      <c r="B62" s="4" t="s">
        <v>102</v>
      </c>
      <c r="C62" s="1"/>
      <c r="D62" s="1"/>
      <c r="E62" s="1"/>
    </row>
    <row r="63" spans="1:5" ht="12.75">
      <c r="A63" s="1"/>
      <c r="B63" s="4" t="s">
        <v>103</v>
      </c>
      <c r="C63" s="1"/>
      <c r="D63" s="1"/>
      <c r="E63" s="1"/>
    </row>
    <row r="64" spans="1:5" ht="17.25" customHeight="1">
      <c r="A64" s="1" t="s">
        <v>113</v>
      </c>
      <c r="B64" s="4" t="s">
        <v>112</v>
      </c>
      <c r="C64" s="1" t="s">
        <v>315</v>
      </c>
      <c r="D64" s="1">
        <v>4200</v>
      </c>
      <c r="E64" s="1"/>
    </row>
    <row r="65" spans="1:5" ht="14.25" customHeight="1">
      <c r="A65" s="1"/>
      <c r="B65" s="4" t="s">
        <v>101</v>
      </c>
      <c r="C65" s="1"/>
      <c r="D65" s="1"/>
      <c r="E65" s="1"/>
    </row>
    <row r="66" spans="1:5" ht="15.75" customHeight="1">
      <c r="A66" s="1"/>
      <c r="B66" s="4" t="s">
        <v>105</v>
      </c>
      <c r="C66" s="1"/>
      <c r="D66" s="1"/>
      <c r="E66" s="1"/>
    </row>
    <row r="67" spans="1:5" ht="12.75">
      <c r="A67" s="1"/>
      <c r="B67" s="4" t="s">
        <v>106</v>
      </c>
      <c r="C67" s="1"/>
      <c r="D67" s="1"/>
      <c r="E67" s="1"/>
    </row>
    <row r="68" spans="1:5" ht="17.25" customHeight="1">
      <c r="A68" s="1" t="s">
        <v>114</v>
      </c>
      <c r="B68" s="4" t="s">
        <v>112</v>
      </c>
      <c r="C68" s="1" t="s">
        <v>315</v>
      </c>
      <c r="D68" s="1">
        <v>5600</v>
      </c>
      <c r="E68" s="1"/>
    </row>
    <row r="69" spans="1:5" ht="14.25" customHeight="1">
      <c r="A69" s="1"/>
      <c r="B69" s="4" t="s">
        <v>101</v>
      </c>
      <c r="C69" s="1"/>
      <c r="D69" s="1"/>
      <c r="E69" s="1"/>
    </row>
    <row r="70" spans="1:5" ht="17.25" customHeight="1">
      <c r="A70" s="1"/>
      <c r="B70" s="4" t="s">
        <v>105</v>
      </c>
      <c r="C70" s="1"/>
      <c r="D70" s="1"/>
      <c r="E70" s="1"/>
    </row>
    <row r="71" spans="1:5" ht="12.75">
      <c r="A71" s="1"/>
      <c r="B71" s="4" t="s">
        <v>108</v>
      </c>
      <c r="C71" s="1"/>
      <c r="D71" s="1"/>
      <c r="E71" s="1"/>
    </row>
    <row r="72" spans="1:5" ht="15" customHeight="1">
      <c r="A72" s="1" t="s">
        <v>115</v>
      </c>
      <c r="B72" s="4" t="s">
        <v>112</v>
      </c>
      <c r="C72" s="1" t="s">
        <v>315</v>
      </c>
      <c r="D72" s="1">
        <v>7000</v>
      </c>
      <c r="E72" s="1"/>
    </row>
    <row r="73" spans="1:5" ht="15.75" customHeight="1">
      <c r="A73" s="1"/>
      <c r="B73" s="4" t="s">
        <v>101</v>
      </c>
      <c r="C73" s="1"/>
      <c r="D73" s="1"/>
      <c r="E73" s="1"/>
    </row>
    <row r="74" spans="1:5" ht="15.75" customHeight="1">
      <c r="A74" s="1"/>
      <c r="B74" s="4" t="s">
        <v>105</v>
      </c>
      <c r="C74" s="1"/>
      <c r="D74" s="1"/>
      <c r="E74" s="1"/>
    </row>
    <row r="75" spans="1:5" ht="12.75">
      <c r="A75" s="1"/>
      <c r="B75" s="4" t="s">
        <v>110</v>
      </c>
      <c r="C75" s="1"/>
      <c r="D75" s="1"/>
      <c r="E75" s="1"/>
    </row>
    <row r="76" spans="1:5" ht="15.75" customHeight="1">
      <c r="A76" s="1" t="s">
        <v>116</v>
      </c>
      <c r="B76" s="4" t="s">
        <v>117</v>
      </c>
      <c r="C76" s="1" t="s">
        <v>315</v>
      </c>
      <c r="D76" s="1">
        <v>4800</v>
      </c>
      <c r="E76" s="1"/>
    </row>
    <row r="77" spans="1:5" ht="12.75">
      <c r="A77" s="1" t="s">
        <v>118</v>
      </c>
      <c r="B77" s="4" t="s">
        <v>119</v>
      </c>
      <c r="C77" s="1" t="s">
        <v>315</v>
      </c>
      <c r="D77" s="1">
        <v>650</v>
      </c>
      <c r="E77" s="1"/>
    </row>
    <row r="78" spans="1:5" ht="15" customHeight="1">
      <c r="A78" s="1" t="s">
        <v>120</v>
      </c>
      <c r="B78" s="4" t="s">
        <v>121</v>
      </c>
      <c r="C78" s="1" t="s">
        <v>315</v>
      </c>
      <c r="D78" s="1">
        <v>1200</v>
      </c>
      <c r="E78" s="1"/>
    </row>
    <row r="79" spans="1:5" ht="15.75" customHeight="1">
      <c r="A79" s="1" t="s">
        <v>122</v>
      </c>
      <c r="B79" s="4" t="s">
        <v>123</v>
      </c>
      <c r="C79" s="1" t="s">
        <v>315</v>
      </c>
      <c r="D79" s="1">
        <v>2850</v>
      </c>
      <c r="E79" s="1"/>
    </row>
    <row r="80" spans="1:5" ht="13.5" customHeight="1">
      <c r="A80" s="1" t="s">
        <v>124</v>
      </c>
      <c r="B80" s="7" t="s">
        <v>125</v>
      </c>
      <c r="C80" s="1"/>
      <c r="D80" s="1"/>
      <c r="E80" s="1"/>
    </row>
    <row r="81" spans="1:5" ht="12.75">
      <c r="A81" s="1" t="s">
        <v>126</v>
      </c>
      <c r="B81" s="4" t="s">
        <v>127</v>
      </c>
      <c r="C81" s="1" t="s">
        <v>315</v>
      </c>
      <c r="D81" s="1">
        <v>7450</v>
      </c>
      <c r="E81" s="1"/>
    </row>
    <row r="82" spans="1:5" ht="12.75">
      <c r="A82" s="1" t="s">
        <v>128</v>
      </c>
      <c r="B82" s="4" t="s">
        <v>129</v>
      </c>
      <c r="C82" s="1" t="s">
        <v>315</v>
      </c>
      <c r="D82" s="1">
        <v>11150</v>
      </c>
      <c r="E82" s="1"/>
    </row>
    <row r="83" spans="1:5" ht="14.25" customHeight="1">
      <c r="A83" s="1" t="s">
        <v>130</v>
      </c>
      <c r="B83" s="7" t="s">
        <v>131</v>
      </c>
      <c r="C83" s="1"/>
      <c r="D83" s="1"/>
      <c r="E83" s="1"/>
    </row>
    <row r="84" spans="1:5" ht="12.75">
      <c r="A84" s="1" t="s">
        <v>132</v>
      </c>
      <c r="B84" s="4" t="s">
        <v>133</v>
      </c>
      <c r="C84" s="1" t="s">
        <v>315</v>
      </c>
      <c r="D84" s="1">
        <v>1450</v>
      </c>
      <c r="E84" s="1"/>
    </row>
    <row r="85" spans="1:5" ht="14.25" customHeight="1">
      <c r="A85" s="1" t="s">
        <v>134</v>
      </c>
      <c r="B85" s="4" t="s">
        <v>135</v>
      </c>
      <c r="C85" s="1" t="s">
        <v>315</v>
      </c>
      <c r="D85" s="1">
        <v>850</v>
      </c>
      <c r="E85" s="1"/>
    </row>
    <row r="86" spans="1:5" ht="14.25" customHeight="1">
      <c r="A86" s="13" t="s">
        <v>317</v>
      </c>
      <c r="B86" s="4" t="s">
        <v>318</v>
      </c>
      <c r="C86" s="1" t="s">
        <v>315</v>
      </c>
      <c r="D86" s="1">
        <v>2250</v>
      </c>
      <c r="E86" s="1"/>
    </row>
    <row r="87" spans="1:5" ht="14.25" customHeight="1">
      <c r="A87" s="1" t="s">
        <v>136</v>
      </c>
      <c r="B87" s="4" t="s">
        <v>137</v>
      </c>
      <c r="C87" s="1" t="s">
        <v>315</v>
      </c>
      <c r="D87" s="1">
        <v>1550</v>
      </c>
      <c r="E87" s="1"/>
    </row>
    <row r="88" spans="1:5" ht="12.75">
      <c r="A88" s="1" t="s">
        <v>138</v>
      </c>
      <c r="B88" s="4" t="s">
        <v>139</v>
      </c>
      <c r="C88" s="1" t="s">
        <v>315</v>
      </c>
      <c r="D88" s="1">
        <v>2700</v>
      </c>
      <c r="E88" s="1"/>
    </row>
    <row r="89" spans="1:5" ht="12.75">
      <c r="A89" s="1" t="s">
        <v>140</v>
      </c>
      <c r="B89" s="4" t="s">
        <v>141</v>
      </c>
      <c r="C89" s="1" t="s">
        <v>315</v>
      </c>
      <c r="D89" s="1">
        <v>9800</v>
      </c>
      <c r="E89" s="1"/>
    </row>
    <row r="90" spans="1:5" ht="12.75">
      <c r="A90" s="1" t="s">
        <v>142</v>
      </c>
      <c r="B90" s="4" t="s">
        <v>143</v>
      </c>
      <c r="C90" s="1" t="s">
        <v>315</v>
      </c>
      <c r="D90" s="1">
        <v>2750</v>
      </c>
      <c r="E90" s="1"/>
    </row>
    <row r="91" spans="1:5" ht="12.75">
      <c r="A91" s="1" t="s">
        <v>144</v>
      </c>
      <c r="B91" s="4" t="s">
        <v>145</v>
      </c>
      <c r="C91" s="1" t="s">
        <v>315</v>
      </c>
      <c r="D91" s="1">
        <v>1900</v>
      </c>
      <c r="E91" s="1"/>
    </row>
    <row r="92" spans="1:5" ht="14.25" customHeight="1">
      <c r="A92" s="1" t="s">
        <v>146</v>
      </c>
      <c r="B92" s="4" t="s">
        <v>147</v>
      </c>
      <c r="C92" s="1" t="s">
        <v>315</v>
      </c>
      <c r="D92" s="1">
        <v>1900</v>
      </c>
      <c r="E92" s="1"/>
    </row>
    <row r="93" spans="1:5" ht="12.75">
      <c r="A93" s="1" t="s">
        <v>148</v>
      </c>
      <c r="B93" s="4" t="s">
        <v>149</v>
      </c>
      <c r="C93" s="1" t="s">
        <v>315</v>
      </c>
      <c r="D93" s="1">
        <v>1050</v>
      </c>
      <c r="E93" s="1"/>
    </row>
    <row r="94" spans="1:5" ht="12.75">
      <c r="A94" s="1" t="s">
        <v>150</v>
      </c>
      <c r="B94" s="4" t="s">
        <v>151</v>
      </c>
      <c r="C94" s="1" t="s">
        <v>315</v>
      </c>
      <c r="D94" s="1">
        <v>1900</v>
      </c>
      <c r="E94" s="1"/>
    </row>
    <row r="95" spans="1:5" ht="12.75">
      <c r="A95" s="1" t="s">
        <v>152</v>
      </c>
      <c r="B95" s="4" t="s">
        <v>153</v>
      </c>
      <c r="C95" s="1" t="s">
        <v>315</v>
      </c>
      <c r="D95" s="1">
        <v>3800</v>
      </c>
      <c r="E95" s="1"/>
    </row>
    <row r="96" spans="1:5" ht="16.5" customHeight="1">
      <c r="A96" s="1" t="s">
        <v>154</v>
      </c>
      <c r="B96" s="4" t="s">
        <v>155</v>
      </c>
      <c r="C96" s="1" t="s">
        <v>315</v>
      </c>
      <c r="D96" s="1">
        <v>5500</v>
      </c>
      <c r="E96" s="1"/>
    </row>
    <row r="97" spans="1:5" ht="17.25" customHeight="1">
      <c r="A97" s="1" t="s">
        <v>156</v>
      </c>
      <c r="B97" s="4" t="s">
        <v>157</v>
      </c>
      <c r="C97" s="1" t="s">
        <v>315</v>
      </c>
      <c r="D97" s="1">
        <v>6600</v>
      </c>
      <c r="E97" s="1"/>
    </row>
    <row r="98" spans="1:5" ht="17.25" customHeight="1">
      <c r="A98" s="1" t="s">
        <v>319</v>
      </c>
      <c r="B98" s="4" t="s">
        <v>320</v>
      </c>
      <c r="C98" s="1" t="s">
        <v>315</v>
      </c>
      <c r="D98" s="1">
        <v>2000</v>
      </c>
      <c r="E98" s="1"/>
    </row>
    <row r="99" spans="1:5" ht="14.25" customHeight="1">
      <c r="A99" s="1" t="s">
        <v>158</v>
      </c>
      <c r="B99" s="4" t="s">
        <v>159</v>
      </c>
      <c r="C99" s="1" t="s">
        <v>315</v>
      </c>
      <c r="D99" s="1">
        <v>3000</v>
      </c>
      <c r="E99" s="1"/>
    </row>
    <row r="100" spans="1:5" ht="12.75">
      <c r="A100" s="1" t="s">
        <v>160</v>
      </c>
      <c r="B100" s="4" t="s">
        <v>161</v>
      </c>
      <c r="C100" s="1" t="s">
        <v>315</v>
      </c>
      <c r="D100" s="1">
        <v>2000</v>
      </c>
      <c r="E100" s="1"/>
    </row>
    <row r="101" spans="1:5" ht="12.75">
      <c r="A101" s="1" t="s">
        <v>162</v>
      </c>
      <c r="B101" s="4" t="s">
        <v>163</v>
      </c>
      <c r="C101" s="1" t="s">
        <v>315</v>
      </c>
      <c r="D101" s="1">
        <v>3200</v>
      </c>
      <c r="E101" s="1"/>
    </row>
    <row r="102" spans="1:5" ht="12.75">
      <c r="A102" s="1" t="s">
        <v>164</v>
      </c>
      <c r="B102" s="4" t="s">
        <v>165</v>
      </c>
      <c r="C102" s="1" t="s">
        <v>315</v>
      </c>
      <c r="D102" s="1">
        <v>4300</v>
      </c>
      <c r="E102" s="1"/>
    </row>
    <row r="103" spans="1:5" ht="12.75">
      <c r="A103" s="1" t="s">
        <v>166</v>
      </c>
      <c r="B103" s="4" t="s">
        <v>167</v>
      </c>
      <c r="C103" s="1" t="s">
        <v>315</v>
      </c>
      <c r="D103" s="1">
        <v>1000</v>
      </c>
      <c r="E103" s="1"/>
    </row>
    <row r="104" spans="1:5" ht="12.75">
      <c r="A104" s="1" t="s">
        <v>168</v>
      </c>
      <c r="B104" s="4" t="s">
        <v>169</v>
      </c>
      <c r="C104" s="1" t="s">
        <v>315</v>
      </c>
      <c r="D104" s="1">
        <v>2000</v>
      </c>
      <c r="E104" s="1"/>
    </row>
    <row r="105" spans="1:5" ht="12.75">
      <c r="A105" s="1" t="s">
        <v>170</v>
      </c>
      <c r="B105" s="4" t="s">
        <v>171</v>
      </c>
      <c r="C105" s="1" t="s">
        <v>315</v>
      </c>
      <c r="D105" s="1">
        <v>1250</v>
      </c>
      <c r="E105" s="1"/>
    </row>
    <row r="106" spans="1:5" ht="12.75">
      <c r="A106" s="1" t="s">
        <v>172</v>
      </c>
      <c r="B106" s="4" t="s">
        <v>173</v>
      </c>
      <c r="C106" s="1" t="s">
        <v>315</v>
      </c>
      <c r="D106" s="1">
        <v>1250</v>
      </c>
      <c r="E106" s="1"/>
    </row>
    <row r="107" spans="1:5" ht="12.75">
      <c r="A107" s="1" t="s">
        <v>174</v>
      </c>
      <c r="B107" s="7" t="s">
        <v>175</v>
      </c>
      <c r="C107" s="1"/>
      <c r="D107" s="1"/>
      <c r="E107" s="1"/>
    </row>
    <row r="108" spans="1:5" ht="12.75">
      <c r="A108" s="1" t="s">
        <v>176</v>
      </c>
      <c r="B108" s="4" t="s">
        <v>177</v>
      </c>
      <c r="C108" s="1" t="s">
        <v>315</v>
      </c>
      <c r="D108" s="1">
        <v>1300</v>
      </c>
      <c r="E108" s="1"/>
    </row>
    <row r="109" spans="1:5" ht="12.75" customHeight="1">
      <c r="A109" s="1" t="s">
        <v>178</v>
      </c>
      <c r="B109" s="4" t="s">
        <v>179</v>
      </c>
      <c r="C109" s="1" t="s">
        <v>316</v>
      </c>
      <c r="D109" s="1">
        <v>10700</v>
      </c>
      <c r="E109" s="1"/>
    </row>
    <row r="110" spans="1:5" ht="16.5" customHeight="1">
      <c r="A110" s="1" t="s">
        <v>180</v>
      </c>
      <c r="B110" s="4" t="s">
        <v>181</v>
      </c>
      <c r="C110" s="1" t="s">
        <v>316</v>
      </c>
      <c r="D110" s="1">
        <v>11350</v>
      </c>
      <c r="E110" s="1"/>
    </row>
    <row r="111" spans="1:5" ht="15.75" customHeight="1">
      <c r="A111" s="1" t="s">
        <v>182</v>
      </c>
      <c r="B111" s="4" t="s">
        <v>183</v>
      </c>
      <c r="C111" s="1" t="s">
        <v>316</v>
      </c>
      <c r="D111" s="1">
        <v>13300</v>
      </c>
      <c r="E111" s="1"/>
    </row>
    <row r="112" spans="1:5" ht="16.5" customHeight="1">
      <c r="A112" s="1" t="s">
        <v>184</v>
      </c>
      <c r="B112" s="4" t="s">
        <v>185</v>
      </c>
      <c r="C112" s="1" t="s">
        <v>316</v>
      </c>
      <c r="D112" s="1">
        <v>14200</v>
      </c>
      <c r="E112" s="1"/>
    </row>
    <row r="113" spans="1:5" ht="15" customHeight="1">
      <c r="A113" s="1" t="s">
        <v>186</v>
      </c>
      <c r="B113" s="4" t="s">
        <v>187</v>
      </c>
      <c r="C113" s="1" t="s">
        <v>316</v>
      </c>
      <c r="D113" s="1">
        <v>16550</v>
      </c>
      <c r="E113" s="1"/>
    </row>
    <row r="114" spans="1:5" ht="15" customHeight="1">
      <c r="A114" s="1" t="s">
        <v>188</v>
      </c>
      <c r="B114" s="4" t="s">
        <v>189</v>
      </c>
      <c r="C114" s="1" t="s">
        <v>316</v>
      </c>
      <c r="D114" s="1">
        <v>17350</v>
      </c>
      <c r="E114" s="1"/>
    </row>
    <row r="115" spans="1:5" ht="17.25" customHeight="1">
      <c r="A115" s="1" t="s">
        <v>190</v>
      </c>
      <c r="B115" s="4" t="s">
        <v>191</v>
      </c>
      <c r="C115" s="1" t="s">
        <v>316</v>
      </c>
      <c r="D115" s="1">
        <v>18100</v>
      </c>
      <c r="E115" s="1"/>
    </row>
    <row r="116" spans="1:5" ht="14.25" customHeight="1">
      <c r="A116" s="1" t="s">
        <v>192</v>
      </c>
      <c r="B116" s="4" t="s">
        <v>193</v>
      </c>
      <c r="C116" s="1" t="s">
        <v>316</v>
      </c>
      <c r="D116" s="1">
        <v>18900</v>
      </c>
      <c r="E116" s="1"/>
    </row>
    <row r="117" spans="1:5" ht="15" customHeight="1">
      <c r="A117" s="1" t="s">
        <v>194</v>
      </c>
      <c r="B117" s="4" t="s">
        <v>195</v>
      </c>
      <c r="C117" s="1" t="s">
        <v>316</v>
      </c>
      <c r="D117" s="1">
        <v>19450</v>
      </c>
      <c r="E117" s="1"/>
    </row>
    <row r="118" spans="1:5" ht="13.5" customHeight="1">
      <c r="A118" s="1" t="s">
        <v>196</v>
      </c>
      <c r="B118" s="4" t="s">
        <v>197</v>
      </c>
      <c r="C118" s="1" t="s">
        <v>316</v>
      </c>
      <c r="D118" s="1">
        <v>19600</v>
      </c>
      <c r="E118" s="1"/>
    </row>
    <row r="119" spans="1:5" ht="14.25" customHeight="1">
      <c r="A119" s="1" t="s">
        <v>198</v>
      </c>
      <c r="B119" s="4" t="s">
        <v>199</v>
      </c>
      <c r="C119" s="1" t="s">
        <v>316</v>
      </c>
      <c r="D119" s="1">
        <v>19450</v>
      </c>
      <c r="E119" s="1"/>
    </row>
    <row r="120" spans="1:5" ht="14.25" customHeight="1">
      <c r="A120" s="1" t="s">
        <v>200</v>
      </c>
      <c r="B120" s="4" t="s">
        <v>201</v>
      </c>
      <c r="C120" s="1" t="s">
        <v>316</v>
      </c>
      <c r="D120" s="1">
        <v>20200</v>
      </c>
      <c r="E120" s="1"/>
    </row>
    <row r="121" spans="1:5" ht="15.75" customHeight="1">
      <c r="A121" s="1" t="s">
        <v>202</v>
      </c>
      <c r="B121" s="4" t="s">
        <v>203</v>
      </c>
      <c r="C121" s="1" t="s">
        <v>316</v>
      </c>
      <c r="D121" s="1">
        <v>20900</v>
      </c>
      <c r="E121" s="1"/>
    </row>
    <row r="122" spans="1:5" ht="15.75" customHeight="1">
      <c r="A122" s="1" t="s">
        <v>204</v>
      </c>
      <c r="B122" s="4" t="s">
        <v>205</v>
      </c>
      <c r="C122" s="1" t="s">
        <v>316</v>
      </c>
      <c r="D122" s="1">
        <v>21700</v>
      </c>
      <c r="E122" s="1"/>
    </row>
    <row r="123" spans="1:5" ht="15" customHeight="1">
      <c r="A123" s="1" t="s">
        <v>206</v>
      </c>
      <c r="B123" s="4" t="s">
        <v>207</v>
      </c>
      <c r="C123" s="1" t="s">
        <v>316</v>
      </c>
      <c r="D123" s="1">
        <v>31200</v>
      </c>
      <c r="E123" s="1"/>
    </row>
    <row r="124" spans="1:5" ht="12.75">
      <c r="A124" s="1" t="s">
        <v>208</v>
      </c>
      <c r="B124" s="4" t="s">
        <v>209</v>
      </c>
      <c r="C124" s="1" t="s">
        <v>315</v>
      </c>
      <c r="D124" s="1">
        <v>6550</v>
      </c>
      <c r="E124" s="1"/>
    </row>
    <row r="125" spans="1:5" ht="12.75">
      <c r="A125" s="1" t="s">
        <v>210</v>
      </c>
      <c r="B125" s="4" t="s">
        <v>211</v>
      </c>
      <c r="C125" s="1" t="s">
        <v>315</v>
      </c>
      <c r="D125" s="1">
        <v>7350</v>
      </c>
      <c r="E125" s="1"/>
    </row>
    <row r="126" spans="1:5" ht="12.75">
      <c r="A126" s="1" t="s">
        <v>212</v>
      </c>
      <c r="B126" s="4" t="s">
        <v>213</v>
      </c>
      <c r="C126" s="1" t="s">
        <v>315</v>
      </c>
      <c r="D126" s="1">
        <v>8200</v>
      </c>
      <c r="E126" s="1"/>
    </row>
    <row r="127" spans="1:5" ht="12.75">
      <c r="A127" s="1" t="s">
        <v>214</v>
      </c>
      <c r="B127" s="4" t="s">
        <v>215</v>
      </c>
      <c r="C127" s="1" t="s">
        <v>315</v>
      </c>
      <c r="D127" s="1">
        <v>9000</v>
      </c>
      <c r="E127" s="1"/>
    </row>
    <row r="128" spans="1:5" ht="12.75">
      <c r="A128" s="1" t="s">
        <v>216</v>
      </c>
      <c r="B128" s="4" t="s">
        <v>217</v>
      </c>
      <c r="C128" s="1" t="s">
        <v>316</v>
      </c>
      <c r="D128" s="1">
        <v>10150</v>
      </c>
      <c r="E128" s="1"/>
    </row>
    <row r="129" spans="1:5" ht="12.75">
      <c r="A129" s="1" t="s">
        <v>218</v>
      </c>
      <c r="B129" s="4" t="s">
        <v>219</v>
      </c>
      <c r="C129" s="1" t="s">
        <v>316</v>
      </c>
      <c r="D129" s="1">
        <v>7650</v>
      </c>
      <c r="E129" s="1"/>
    </row>
    <row r="130" spans="1:5" ht="12.75">
      <c r="A130" s="1" t="s">
        <v>220</v>
      </c>
      <c r="B130" s="4" t="s">
        <v>221</v>
      </c>
      <c r="C130" s="1" t="s">
        <v>316</v>
      </c>
      <c r="D130" s="1">
        <v>900</v>
      </c>
      <c r="E130" s="1"/>
    </row>
    <row r="131" spans="1:5" ht="13.5" customHeight="1">
      <c r="A131" s="1" t="s">
        <v>222</v>
      </c>
      <c r="B131" s="4" t="s">
        <v>223</v>
      </c>
      <c r="C131" s="1" t="s">
        <v>316</v>
      </c>
      <c r="D131" s="1">
        <v>9450</v>
      </c>
      <c r="E131" s="1"/>
    </row>
    <row r="132" spans="1:5" ht="14.25" customHeight="1">
      <c r="A132" s="1" t="s">
        <v>224</v>
      </c>
      <c r="B132" s="4" t="s">
        <v>225</v>
      </c>
      <c r="C132" s="1" t="s">
        <v>316</v>
      </c>
      <c r="D132" s="1">
        <v>15750</v>
      </c>
      <c r="E132" s="1"/>
    </row>
    <row r="133" spans="1:5" ht="11.25" customHeight="1">
      <c r="A133" s="1" t="s">
        <v>226</v>
      </c>
      <c r="B133" s="4" t="s">
        <v>227</v>
      </c>
      <c r="C133" s="1" t="s">
        <v>316</v>
      </c>
      <c r="D133" s="1">
        <v>17650</v>
      </c>
      <c r="E133" s="1"/>
    </row>
    <row r="134" spans="1:5" ht="12.75">
      <c r="A134" s="1" t="s">
        <v>228</v>
      </c>
      <c r="B134" s="4" t="s">
        <v>229</v>
      </c>
      <c r="C134" s="1" t="s">
        <v>316</v>
      </c>
      <c r="D134" s="1">
        <v>9450</v>
      </c>
      <c r="E134" s="1"/>
    </row>
    <row r="135" spans="1:5" ht="12.75">
      <c r="A135" s="1" t="s">
        <v>230</v>
      </c>
      <c r="B135" s="4" t="s">
        <v>231</v>
      </c>
      <c r="C135" s="1" t="s">
        <v>316</v>
      </c>
      <c r="D135" s="1">
        <v>9450</v>
      </c>
      <c r="E135" s="1"/>
    </row>
    <row r="136" spans="1:5" ht="12.75">
      <c r="A136" s="1" t="s">
        <v>232</v>
      </c>
      <c r="B136" s="4" t="s">
        <v>233</v>
      </c>
      <c r="C136" s="1" t="s">
        <v>316</v>
      </c>
      <c r="D136" s="1">
        <v>6950</v>
      </c>
      <c r="E136" s="1"/>
    </row>
    <row r="137" spans="1:5" ht="14.25" customHeight="1">
      <c r="A137" s="1" t="s">
        <v>234</v>
      </c>
      <c r="B137" s="4" t="s">
        <v>235</v>
      </c>
      <c r="C137" s="1" t="s">
        <v>316</v>
      </c>
      <c r="D137" s="1">
        <v>13600</v>
      </c>
      <c r="E137" s="1"/>
    </row>
    <row r="138" spans="1:5" ht="12.75">
      <c r="A138" s="1" t="s">
        <v>236</v>
      </c>
      <c r="B138" s="4" t="s">
        <v>237</v>
      </c>
      <c r="C138" s="1" t="s">
        <v>315</v>
      </c>
      <c r="D138" s="1">
        <v>2150</v>
      </c>
      <c r="E138" s="1"/>
    </row>
    <row r="139" spans="1:5" ht="12.75">
      <c r="A139" s="1" t="s">
        <v>238</v>
      </c>
      <c r="B139" s="4" t="s">
        <v>239</v>
      </c>
      <c r="C139" s="1" t="s">
        <v>316</v>
      </c>
      <c r="D139" s="1">
        <v>3400</v>
      </c>
      <c r="E139" s="1"/>
    </row>
    <row r="140" spans="1:5" ht="12.75">
      <c r="A140" s="1" t="s">
        <v>240</v>
      </c>
      <c r="B140" s="4" t="s">
        <v>241</v>
      </c>
      <c r="C140" s="1" t="s">
        <v>315</v>
      </c>
      <c r="D140" s="1">
        <v>8600</v>
      </c>
      <c r="E140" s="1"/>
    </row>
    <row r="141" spans="1:5" ht="12.75">
      <c r="A141" s="1" t="s">
        <v>242</v>
      </c>
      <c r="B141" s="4" t="s">
        <v>243</v>
      </c>
      <c r="C141" s="1" t="s">
        <v>315</v>
      </c>
      <c r="D141" s="1">
        <v>9550</v>
      </c>
      <c r="E141" s="1"/>
    </row>
    <row r="142" spans="1:5" ht="12.75">
      <c r="A142" s="1" t="s">
        <v>244</v>
      </c>
      <c r="B142" s="4" t="s">
        <v>245</v>
      </c>
      <c r="C142" s="1" t="s">
        <v>315</v>
      </c>
      <c r="D142" s="1">
        <v>9250</v>
      </c>
      <c r="E142" s="1"/>
    </row>
    <row r="143" spans="1:5" ht="12.75">
      <c r="A143" s="1" t="s">
        <v>246</v>
      </c>
      <c r="B143" s="4" t="s">
        <v>247</v>
      </c>
      <c r="C143" s="1" t="s">
        <v>315</v>
      </c>
      <c r="D143" s="1">
        <v>1000</v>
      </c>
      <c r="E143" s="1"/>
    </row>
    <row r="144" spans="1:5" ht="12.75">
      <c r="A144" s="1" t="s">
        <v>248</v>
      </c>
      <c r="B144" s="4" t="s">
        <v>249</v>
      </c>
      <c r="C144" s="1" t="s">
        <v>315</v>
      </c>
      <c r="D144" s="1">
        <v>1300</v>
      </c>
      <c r="E144" s="1"/>
    </row>
    <row r="145" spans="1:5" ht="12.75">
      <c r="A145" s="1" t="s">
        <v>250</v>
      </c>
      <c r="B145" s="4" t="s">
        <v>251</v>
      </c>
      <c r="C145" s="1" t="s">
        <v>315</v>
      </c>
      <c r="D145" s="1">
        <v>1600</v>
      </c>
      <c r="E145" s="1"/>
    </row>
    <row r="146" spans="1:5" ht="12.75">
      <c r="A146" s="1" t="s">
        <v>252</v>
      </c>
      <c r="B146" s="4" t="s">
        <v>253</v>
      </c>
      <c r="C146" s="1" t="s">
        <v>316</v>
      </c>
      <c r="D146" s="1">
        <v>2400</v>
      </c>
      <c r="E146" s="1"/>
    </row>
    <row r="147" spans="1:5" ht="12.75">
      <c r="A147" s="1" t="s">
        <v>254</v>
      </c>
      <c r="B147" s="4" t="s">
        <v>255</v>
      </c>
      <c r="C147" s="1" t="s">
        <v>315</v>
      </c>
      <c r="D147" s="1">
        <v>1250</v>
      </c>
      <c r="E147" s="1"/>
    </row>
    <row r="148" spans="1:5" ht="12.75">
      <c r="A148" s="1" t="s">
        <v>256</v>
      </c>
      <c r="B148" s="7" t="s">
        <v>257</v>
      </c>
      <c r="C148" s="1"/>
      <c r="D148" s="1"/>
      <c r="E148" s="1"/>
    </row>
    <row r="149" spans="1:5" ht="12.75">
      <c r="A149" s="1" t="s">
        <v>258</v>
      </c>
      <c r="B149" s="4" t="s">
        <v>259</v>
      </c>
      <c r="C149" s="1" t="s">
        <v>308</v>
      </c>
      <c r="D149" s="1">
        <v>2050</v>
      </c>
      <c r="E149" s="1"/>
    </row>
    <row r="150" spans="1:5" ht="35.25" customHeight="1">
      <c r="A150" s="133" t="s">
        <v>5</v>
      </c>
      <c r="B150" s="133"/>
      <c r="C150" s="133"/>
      <c r="D150" s="133"/>
      <c r="E150" s="133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 t="s">
        <v>312</v>
      </c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</sheetData>
  <sheetProtection/>
  <mergeCells count="5">
    <mergeCell ref="C1:E1"/>
    <mergeCell ref="C2:E2"/>
    <mergeCell ref="C3:E3"/>
    <mergeCell ref="A150:E150"/>
    <mergeCell ref="B5:E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3">
      <selection activeCell="F16" sqref="F16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10.28125" style="0" customWidth="1"/>
    <col min="4" max="4" width="8.140625" style="0" customWidth="1"/>
    <col min="5" max="5" width="9.00390625" style="0" customWidth="1"/>
    <col min="6" max="6" width="14.421875" style="0" customWidth="1"/>
    <col min="7" max="7" width="14.140625" style="0" customWidth="1"/>
    <col min="8" max="8" width="8.28125" style="0" customWidth="1"/>
  </cols>
  <sheetData>
    <row r="1" spans="5:7" ht="12.75">
      <c r="E1" s="142"/>
      <c r="F1" s="142"/>
      <c r="G1" s="142"/>
    </row>
    <row r="2" spans="5:14" ht="12.75">
      <c r="E2" s="143" t="s">
        <v>857</v>
      </c>
      <c r="F2" s="143"/>
      <c r="G2" s="143"/>
      <c r="H2" s="143"/>
      <c r="I2" s="143"/>
      <c r="J2" s="143"/>
      <c r="K2" s="143"/>
      <c r="L2" s="143"/>
      <c r="M2" s="143"/>
      <c r="N2" s="143"/>
    </row>
    <row r="3" spans="5:15" ht="12.75">
      <c r="E3" s="143" t="s">
        <v>858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5:15" ht="12.75"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5:15" ht="12.75"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3:9" ht="12.75">
      <c r="C6" s="135" t="s">
        <v>0</v>
      </c>
      <c r="D6" s="135"/>
      <c r="E6" s="135"/>
      <c r="F6" s="135"/>
      <c r="G6" s="135"/>
      <c r="H6" s="135"/>
      <c r="I6" s="135"/>
    </row>
    <row r="7" spans="3:9" ht="12.75">
      <c r="C7" s="132" t="s">
        <v>4</v>
      </c>
      <c r="D7" s="132"/>
      <c r="E7" s="132"/>
      <c r="F7" s="132"/>
      <c r="G7" s="132"/>
      <c r="H7" s="132"/>
      <c r="I7" s="132"/>
    </row>
    <row r="8" spans="4:9" ht="21" customHeight="1">
      <c r="D8" s="135" t="s">
        <v>760</v>
      </c>
      <c r="E8" s="135"/>
      <c r="F8" s="135"/>
      <c r="G8" s="135"/>
      <c r="H8" s="135"/>
      <c r="I8" s="135"/>
    </row>
    <row r="9" spans="4:9" ht="12.75">
      <c r="D9" s="145" t="s">
        <v>855</v>
      </c>
      <c r="E9" s="145"/>
      <c r="F9" s="145"/>
      <c r="G9" s="135"/>
      <c r="H9" s="135"/>
      <c r="I9" s="135"/>
    </row>
    <row r="10" ht="15.75" customHeight="1"/>
    <row r="11" spans="2:6" ht="18" customHeight="1">
      <c r="B11" s="144" t="s">
        <v>313</v>
      </c>
      <c r="C11" s="144"/>
      <c r="D11" s="144"/>
      <c r="E11" s="144"/>
      <c r="F11" s="144"/>
    </row>
    <row r="12" spans="2:5" ht="13.5" customHeight="1">
      <c r="B12" s="136"/>
      <c r="C12" s="136"/>
      <c r="D12" s="136"/>
      <c r="E12" s="136"/>
    </row>
    <row r="13" spans="1:9" ht="63.75">
      <c r="A13" s="1"/>
      <c r="B13" s="108" t="s">
        <v>2</v>
      </c>
      <c r="C13" s="108" t="s">
        <v>3</v>
      </c>
      <c r="D13" s="51" t="s">
        <v>843</v>
      </c>
      <c r="E13" s="51" t="s">
        <v>844</v>
      </c>
      <c r="F13" s="108" t="s">
        <v>10</v>
      </c>
      <c r="G13" s="2"/>
      <c r="H13" s="2"/>
      <c r="I13" s="2"/>
    </row>
    <row r="14" spans="1:9" ht="12.75">
      <c r="A14" s="107">
        <v>1</v>
      </c>
      <c r="B14" s="107">
        <v>2</v>
      </c>
      <c r="C14" s="107">
        <v>3</v>
      </c>
      <c r="D14" s="107">
        <v>4</v>
      </c>
      <c r="E14" s="107">
        <v>5</v>
      </c>
      <c r="F14" s="107">
        <v>6</v>
      </c>
      <c r="G14" s="2"/>
      <c r="H14" s="2"/>
      <c r="I14" s="2"/>
    </row>
    <row r="15" spans="1:9" ht="12.75">
      <c r="A15" s="137" t="s">
        <v>6</v>
      </c>
      <c r="B15" s="138"/>
      <c r="C15" s="1"/>
      <c r="D15" s="1"/>
      <c r="E15" s="1"/>
      <c r="F15" s="1"/>
      <c r="G15" s="2"/>
      <c r="H15" s="2"/>
      <c r="I15" s="2"/>
    </row>
    <row r="16" spans="1:9" ht="15">
      <c r="A16" s="1">
        <v>1</v>
      </c>
      <c r="B16" s="1" t="s">
        <v>8</v>
      </c>
      <c r="C16" s="1" t="s">
        <v>7</v>
      </c>
      <c r="D16" s="85">
        <f>F45</f>
        <v>0.44</v>
      </c>
      <c r="E16" s="85">
        <f>G45</f>
        <v>0.53</v>
      </c>
      <c r="F16" s="1"/>
      <c r="G16" s="2"/>
      <c r="H16" s="2"/>
      <c r="I16" s="2"/>
    </row>
    <row r="17" spans="1:9" ht="15">
      <c r="A17" s="1">
        <v>2</v>
      </c>
      <c r="B17" s="1" t="s">
        <v>11</v>
      </c>
      <c r="C17" s="1" t="s">
        <v>7</v>
      </c>
      <c r="D17" s="85">
        <f aca="true" t="shared" si="0" ref="D17:D31">F46</f>
        <v>0.39</v>
      </c>
      <c r="E17" s="85">
        <f aca="true" t="shared" si="1" ref="E17:E31">G46</f>
        <v>0.47</v>
      </c>
      <c r="F17" s="1"/>
      <c r="G17" s="2"/>
      <c r="H17" s="2"/>
      <c r="I17" s="2"/>
    </row>
    <row r="18" spans="1:9" ht="15">
      <c r="A18" s="3">
        <v>3</v>
      </c>
      <c r="B18" s="3" t="s">
        <v>12</v>
      </c>
      <c r="C18" s="1" t="s">
        <v>7</v>
      </c>
      <c r="D18" s="85">
        <f t="shared" si="0"/>
        <v>0.49</v>
      </c>
      <c r="E18" s="85">
        <f t="shared" si="1"/>
        <v>0.59</v>
      </c>
      <c r="F18" s="3"/>
      <c r="G18" s="2"/>
      <c r="H18" s="2"/>
      <c r="I18" s="2"/>
    </row>
    <row r="19" spans="1:9" ht="15">
      <c r="A19" s="3">
        <v>4</v>
      </c>
      <c r="B19" s="3" t="s">
        <v>13</v>
      </c>
      <c r="C19" s="1" t="s">
        <v>7</v>
      </c>
      <c r="D19" s="85">
        <f t="shared" si="0"/>
        <v>0.35</v>
      </c>
      <c r="E19" s="85">
        <f t="shared" si="1"/>
        <v>0.42</v>
      </c>
      <c r="F19" s="130"/>
      <c r="G19" s="2"/>
      <c r="H19" s="2"/>
      <c r="I19" s="2"/>
    </row>
    <row r="20" spans="1:9" ht="15">
      <c r="A20" s="3">
        <v>5</v>
      </c>
      <c r="B20" s="3" t="s">
        <v>14</v>
      </c>
      <c r="C20" s="1" t="s">
        <v>7</v>
      </c>
      <c r="D20" s="85">
        <f t="shared" si="0"/>
        <v>0.45</v>
      </c>
      <c r="E20" s="85">
        <f t="shared" si="1"/>
        <v>0.54</v>
      </c>
      <c r="F20" s="130"/>
      <c r="G20" s="2"/>
      <c r="H20" s="2"/>
      <c r="I20" s="2"/>
    </row>
    <row r="21" spans="1:9" ht="15">
      <c r="A21" s="3">
        <v>6</v>
      </c>
      <c r="B21" s="3" t="s">
        <v>15</v>
      </c>
      <c r="C21" s="1" t="s">
        <v>7</v>
      </c>
      <c r="D21" s="85">
        <f t="shared" si="0"/>
        <v>0.84</v>
      </c>
      <c r="E21" s="85">
        <f t="shared" si="1"/>
        <v>1.01</v>
      </c>
      <c r="F21" s="130"/>
      <c r="G21" s="2"/>
      <c r="H21" s="2"/>
      <c r="I21" s="2"/>
    </row>
    <row r="22" spans="1:9" ht="15">
      <c r="A22" s="3">
        <v>7</v>
      </c>
      <c r="B22" s="3" t="s">
        <v>16</v>
      </c>
      <c r="C22" s="1" t="s">
        <v>7</v>
      </c>
      <c r="D22" s="85">
        <f t="shared" si="0"/>
        <v>0.73</v>
      </c>
      <c r="E22" s="85">
        <f t="shared" si="1"/>
        <v>0.88</v>
      </c>
      <c r="F22" s="130"/>
      <c r="G22" s="2"/>
      <c r="H22" s="2"/>
      <c r="I22" s="2"/>
    </row>
    <row r="23" spans="1:9" ht="15">
      <c r="A23" s="3">
        <v>8</v>
      </c>
      <c r="B23" s="3" t="s">
        <v>17</v>
      </c>
      <c r="C23" s="1" t="s">
        <v>7</v>
      </c>
      <c r="D23" s="85">
        <f t="shared" si="0"/>
        <v>0.53</v>
      </c>
      <c r="E23" s="85">
        <f t="shared" si="1"/>
        <v>0.64</v>
      </c>
      <c r="F23" s="130"/>
      <c r="G23" s="2"/>
      <c r="H23" s="2"/>
      <c r="I23" s="2"/>
    </row>
    <row r="24" spans="1:9" ht="15">
      <c r="A24" s="3">
        <v>9</v>
      </c>
      <c r="B24" s="3" t="s">
        <v>18</v>
      </c>
      <c r="C24" s="1" t="s">
        <v>7</v>
      </c>
      <c r="D24" s="85">
        <f t="shared" si="0"/>
        <v>0.61</v>
      </c>
      <c r="E24" s="85">
        <f t="shared" si="1"/>
        <v>0.73</v>
      </c>
      <c r="F24" s="130"/>
      <c r="G24" s="2"/>
      <c r="H24" s="2"/>
      <c r="I24" s="2"/>
    </row>
    <row r="25" spans="1:9" ht="15">
      <c r="A25" s="3">
        <v>10</v>
      </c>
      <c r="B25" s="3" t="s">
        <v>19</v>
      </c>
      <c r="C25" s="1" t="s">
        <v>7</v>
      </c>
      <c r="D25" s="85">
        <f t="shared" si="0"/>
        <v>0.73</v>
      </c>
      <c r="E25" s="85">
        <f t="shared" si="1"/>
        <v>0.88</v>
      </c>
      <c r="F25" s="130"/>
      <c r="G25" s="2"/>
      <c r="H25" s="2"/>
      <c r="I25" s="2"/>
    </row>
    <row r="26" spans="1:9" ht="15">
      <c r="A26" s="3">
        <v>11</v>
      </c>
      <c r="B26" s="3" t="s">
        <v>20</v>
      </c>
      <c r="C26" s="1" t="s">
        <v>7</v>
      </c>
      <c r="D26" s="85">
        <f t="shared" si="0"/>
        <v>0.49</v>
      </c>
      <c r="E26" s="85">
        <f t="shared" si="1"/>
        <v>0.59</v>
      </c>
      <c r="F26" s="130"/>
      <c r="G26" s="2"/>
      <c r="H26" s="2"/>
      <c r="I26" s="2"/>
    </row>
    <row r="27" spans="1:9" ht="15">
      <c r="A27" s="3">
        <v>12</v>
      </c>
      <c r="B27" s="3" t="s">
        <v>21</v>
      </c>
      <c r="C27" s="1" t="s">
        <v>7</v>
      </c>
      <c r="D27" s="85">
        <f t="shared" si="0"/>
        <v>0.61</v>
      </c>
      <c r="E27" s="85">
        <f t="shared" si="1"/>
        <v>0.73</v>
      </c>
      <c r="F27" s="130"/>
      <c r="G27" s="2"/>
      <c r="H27" s="2"/>
      <c r="I27" s="2"/>
    </row>
    <row r="28" spans="1:9" ht="15">
      <c r="A28" s="1">
        <v>13</v>
      </c>
      <c r="B28" s="1" t="s">
        <v>22</v>
      </c>
      <c r="C28" s="1" t="s">
        <v>7</v>
      </c>
      <c r="D28" s="85">
        <f t="shared" si="0"/>
        <v>0.73</v>
      </c>
      <c r="E28" s="85">
        <f t="shared" si="1"/>
        <v>0.88</v>
      </c>
      <c r="F28" s="74"/>
      <c r="G28" s="2"/>
      <c r="H28" s="2"/>
      <c r="I28" s="2"/>
    </row>
    <row r="29" spans="1:9" ht="25.5">
      <c r="A29" s="1">
        <v>14</v>
      </c>
      <c r="B29" s="4" t="s">
        <v>23</v>
      </c>
      <c r="C29" s="1" t="s">
        <v>24</v>
      </c>
      <c r="D29" s="85">
        <f t="shared" si="0"/>
        <v>0.68</v>
      </c>
      <c r="E29" s="85">
        <f t="shared" si="1"/>
        <v>0.82</v>
      </c>
      <c r="F29" s="74"/>
      <c r="G29" s="2"/>
      <c r="H29" s="2"/>
      <c r="I29" s="2"/>
    </row>
    <row r="30" spans="1:9" ht="25.5">
      <c r="A30" s="1">
        <v>15</v>
      </c>
      <c r="B30" s="4" t="s">
        <v>25</v>
      </c>
      <c r="C30" s="1" t="s">
        <v>24</v>
      </c>
      <c r="D30" s="85">
        <f t="shared" si="0"/>
        <v>1.33</v>
      </c>
      <c r="E30" s="85">
        <f t="shared" si="1"/>
        <v>1.6</v>
      </c>
      <c r="F30" s="74"/>
      <c r="G30" s="2"/>
      <c r="H30" s="2"/>
      <c r="I30" s="2"/>
    </row>
    <row r="31" spans="1:9" ht="18.75" customHeight="1">
      <c r="A31" s="50">
        <v>16</v>
      </c>
      <c r="B31" s="4" t="s">
        <v>635</v>
      </c>
      <c r="C31" s="1" t="s">
        <v>7</v>
      </c>
      <c r="D31" s="85">
        <f t="shared" si="0"/>
        <v>0.45</v>
      </c>
      <c r="E31" s="85">
        <f t="shared" si="1"/>
        <v>0.54</v>
      </c>
      <c r="F31" s="74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24.75" customHeight="1">
      <c r="A33" s="2"/>
      <c r="B33" s="133" t="s">
        <v>5</v>
      </c>
      <c r="C33" s="133"/>
      <c r="D33" s="133"/>
      <c r="E33" s="133"/>
      <c r="F33" s="133"/>
      <c r="G33" s="2"/>
      <c r="H33" s="2"/>
      <c r="I33" s="2"/>
    </row>
    <row r="34" spans="1:9" ht="14.25" customHeight="1">
      <c r="A34" s="2"/>
      <c r="B34" s="12"/>
      <c r="C34" s="12"/>
      <c r="D34" s="12"/>
      <c r="E34" s="12"/>
      <c r="F34" s="12"/>
      <c r="G34" s="2"/>
      <c r="H34" s="2"/>
      <c r="I34" s="2"/>
    </row>
    <row r="35" spans="1:9" ht="12.75">
      <c r="A35" s="2"/>
      <c r="B35" s="53" t="s">
        <v>849</v>
      </c>
      <c r="C35" s="2"/>
      <c r="D35" s="2"/>
      <c r="E35" s="2"/>
      <c r="F35" s="2"/>
      <c r="G35" s="2"/>
      <c r="H35" s="2"/>
      <c r="I35" s="2"/>
    </row>
    <row r="39" spans="2:8" ht="15.75" customHeight="1">
      <c r="B39" s="139" t="s">
        <v>850</v>
      </c>
      <c r="C39" s="139"/>
      <c r="D39" s="139"/>
      <c r="E39" s="139"/>
      <c r="F39" s="139"/>
      <c r="G39" s="139"/>
      <c r="H39" s="139"/>
    </row>
    <row r="40" spans="2:8" ht="15.75" customHeight="1">
      <c r="B40" s="139"/>
      <c r="C40" s="139"/>
      <c r="D40" s="139"/>
      <c r="E40" s="139"/>
      <c r="F40" s="139"/>
      <c r="G40" s="139"/>
      <c r="H40" s="139"/>
    </row>
    <row r="41" spans="2:8" ht="12.75" customHeight="1">
      <c r="B41" s="140"/>
      <c r="C41" s="140"/>
      <c r="D41" s="140"/>
      <c r="E41" s="140"/>
      <c r="F41" s="140"/>
      <c r="G41" s="140"/>
      <c r="H41" s="140"/>
    </row>
    <row r="42" spans="1:8" ht="93.75" customHeight="1">
      <c r="A42" s="1"/>
      <c r="B42" s="108" t="s">
        <v>2</v>
      </c>
      <c r="C42" s="108" t="s">
        <v>3</v>
      </c>
      <c r="D42" s="122" t="s">
        <v>851</v>
      </c>
      <c r="E42" s="122" t="s">
        <v>856</v>
      </c>
      <c r="F42" s="123" t="s">
        <v>852</v>
      </c>
      <c r="G42" s="122" t="s">
        <v>853</v>
      </c>
      <c r="H42" s="122" t="s">
        <v>854</v>
      </c>
    </row>
    <row r="43" spans="1:8" ht="12.75">
      <c r="A43" s="107">
        <v>1</v>
      </c>
      <c r="B43" s="107">
        <v>2</v>
      </c>
      <c r="C43" s="107">
        <v>3</v>
      </c>
      <c r="D43" s="107">
        <v>4</v>
      </c>
      <c r="E43" s="107">
        <v>5</v>
      </c>
      <c r="F43" s="124">
        <v>6</v>
      </c>
      <c r="G43" s="1"/>
      <c r="H43" s="1"/>
    </row>
    <row r="44" spans="1:8" ht="12.75">
      <c r="A44" s="137" t="s">
        <v>6</v>
      </c>
      <c r="B44" s="138"/>
      <c r="C44" s="1"/>
      <c r="D44" s="1"/>
      <c r="E44" s="1"/>
      <c r="F44" s="125"/>
      <c r="G44" s="1"/>
      <c r="H44" s="1"/>
    </row>
    <row r="45" spans="1:8" ht="15">
      <c r="A45" s="1">
        <v>1</v>
      </c>
      <c r="B45" s="1" t="s">
        <v>8</v>
      </c>
      <c r="C45" s="1" t="s">
        <v>7</v>
      </c>
      <c r="D45" s="85">
        <f>0.38*1.045*1.05</f>
        <v>0.41695499999999996</v>
      </c>
      <c r="E45" s="85">
        <f>D45*1.2</f>
        <v>0.500346</v>
      </c>
      <c r="F45" s="127">
        <v>0.44</v>
      </c>
      <c r="G45" s="1">
        <v>0.53</v>
      </c>
      <c r="H45" s="128">
        <v>1.05</v>
      </c>
    </row>
    <row r="46" spans="1:8" ht="15">
      <c r="A46" s="1">
        <v>2</v>
      </c>
      <c r="B46" s="1" t="s">
        <v>11</v>
      </c>
      <c r="C46" s="1" t="s">
        <v>7</v>
      </c>
      <c r="D46" s="85">
        <f>0.33*1.06*1.05</f>
        <v>0.36729000000000006</v>
      </c>
      <c r="E46" s="85">
        <f>D46*1.2</f>
        <v>0.4407480000000001</v>
      </c>
      <c r="F46" s="125">
        <v>0.39</v>
      </c>
      <c r="G46" s="1">
        <v>0.47</v>
      </c>
      <c r="H46" s="128">
        <v>1.05</v>
      </c>
    </row>
    <row r="47" spans="1:8" ht="15">
      <c r="A47" s="3">
        <v>3</v>
      </c>
      <c r="B47" s="3" t="s">
        <v>12</v>
      </c>
      <c r="C47" s="1" t="s">
        <v>7</v>
      </c>
      <c r="D47" s="85">
        <f>0.43*1.05*1.05</f>
        <v>0.474075</v>
      </c>
      <c r="E47" s="85">
        <f>D47*1.2-0.01</f>
        <v>0.55889</v>
      </c>
      <c r="F47" s="126">
        <v>0.49</v>
      </c>
      <c r="G47" s="1">
        <v>0.59</v>
      </c>
      <c r="H47" s="128">
        <v>1.05</v>
      </c>
    </row>
    <row r="48" spans="1:8" ht="15">
      <c r="A48" s="3">
        <v>4</v>
      </c>
      <c r="B48" s="3" t="s">
        <v>13</v>
      </c>
      <c r="C48" s="1" t="s">
        <v>7</v>
      </c>
      <c r="D48" s="85">
        <f>0.3*1.06*1.05</f>
        <v>0.33390000000000003</v>
      </c>
      <c r="E48" s="85">
        <f>D48*1.2</f>
        <v>0.40068000000000004</v>
      </c>
      <c r="F48" s="126">
        <v>0.35</v>
      </c>
      <c r="G48" s="1">
        <v>0.42</v>
      </c>
      <c r="H48" s="128">
        <v>1.05</v>
      </c>
    </row>
    <row r="49" spans="1:8" ht="15">
      <c r="A49" s="3">
        <v>5</v>
      </c>
      <c r="B49" s="3" t="s">
        <v>14</v>
      </c>
      <c r="C49" s="1" t="s">
        <v>7</v>
      </c>
      <c r="D49" s="85">
        <f>0.39*1.06*1.05</f>
        <v>0.43407000000000007</v>
      </c>
      <c r="E49" s="85">
        <f>D49*1.2</f>
        <v>0.520884</v>
      </c>
      <c r="F49" s="126">
        <v>0.45</v>
      </c>
      <c r="G49" s="1">
        <v>0.54</v>
      </c>
      <c r="H49" s="128">
        <v>1.05</v>
      </c>
    </row>
    <row r="50" spans="1:8" ht="15">
      <c r="A50" s="3">
        <v>6</v>
      </c>
      <c r="B50" s="3" t="s">
        <v>15</v>
      </c>
      <c r="C50" s="1" t="s">
        <v>7</v>
      </c>
      <c r="D50" s="85">
        <f>0.72*1.06*1.05</f>
        <v>0.8013600000000001</v>
      </c>
      <c r="E50" s="85">
        <f>D50*1.2</f>
        <v>0.961632</v>
      </c>
      <c r="F50" s="126">
        <v>0.84</v>
      </c>
      <c r="G50" s="1">
        <v>1.01</v>
      </c>
      <c r="H50" s="128">
        <v>1.05</v>
      </c>
    </row>
    <row r="51" spans="1:8" ht="15">
      <c r="A51" s="3">
        <v>7</v>
      </c>
      <c r="B51" s="3" t="s">
        <v>16</v>
      </c>
      <c r="C51" s="1" t="s">
        <v>7</v>
      </c>
      <c r="D51" s="85">
        <f>0.62*1.06*1.05</f>
        <v>0.69006</v>
      </c>
      <c r="E51" s="85">
        <f>D51*1.2</f>
        <v>0.828072</v>
      </c>
      <c r="F51" s="126">
        <v>0.73</v>
      </c>
      <c r="G51" s="1">
        <v>0.88</v>
      </c>
      <c r="H51" s="128">
        <v>1.05</v>
      </c>
    </row>
    <row r="52" spans="1:8" ht="15">
      <c r="A52" s="3">
        <v>8</v>
      </c>
      <c r="B52" s="3" t="s">
        <v>17</v>
      </c>
      <c r="C52" s="1" t="s">
        <v>7</v>
      </c>
      <c r="D52" s="85">
        <f>0.45*1.06*1.05</f>
        <v>0.50085</v>
      </c>
      <c r="E52" s="85">
        <f>D52*1.2</f>
        <v>0.60102</v>
      </c>
      <c r="F52" s="126">
        <v>0.53</v>
      </c>
      <c r="G52" s="1">
        <v>0.64</v>
      </c>
      <c r="H52" s="128">
        <v>1.05</v>
      </c>
    </row>
    <row r="53" spans="1:8" ht="15">
      <c r="A53" s="3">
        <v>9</v>
      </c>
      <c r="B53" s="3" t="s">
        <v>18</v>
      </c>
      <c r="C53" s="1" t="s">
        <v>7</v>
      </c>
      <c r="D53" s="85">
        <f>0.52*1.06*1.05</f>
        <v>0.57876</v>
      </c>
      <c r="E53" s="85">
        <f>D53*1.2+0.01</f>
        <v>0.704512</v>
      </c>
      <c r="F53" s="126">
        <v>0.61</v>
      </c>
      <c r="G53" s="1">
        <v>0.73</v>
      </c>
      <c r="H53" s="128">
        <v>1.05</v>
      </c>
    </row>
    <row r="54" spans="1:8" ht="15">
      <c r="A54" s="3">
        <v>10</v>
      </c>
      <c r="B54" s="3" t="s">
        <v>19</v>
      </c>
      <c r="C54" s="1" t="s">
        <v>7</v>
      </c>
      <c r="D54" s="85">
        <f>0.62*1.06*1.05</f>
        <v>0.69006</v>
      </c>
      <c r="E54" s="85">
        <f>D54*1.2</f>
        <v>0.828072</v>
      </c>
      <c r="F54" s="126">
        <v>0.73</v>
      </c>
      <c r="G54" s="1">
        <v>0.88</v>
      </c>
      <c r="H54" s="128">
        <v>1.05</v>
      </c>
    </row>
    <row r="55" spans="1:8" ht="15">
      <c r="A55" s="3">
        <v>11</v>
      </c>
      <c r="B55" s="3" t="s">
        <v>20</v>
      </c>
      <c r="C55" s="1" t="s">
        <v>7</v>
      </c>
      <c r="D55" s="85">
        <f>0.42*1.06*1.05</f>
        <v>0.46746</v>
      </c>
      <c r="E55" s="85">
        <f>D55*1.2</f>
        <v>0.560952</v>
      </c>
      <c r="F55" s="126">
        <v>0.49</v>
      </c>
      <c r="G55" s="1">
        <v>0.59</v>
      </c>
      <c r="H55" s="128">
        <v>1.05</v>
      </c>
    </row>
    <row r="56" spans="1:8" ht="15">
      <c r="A56" s="3">
        <v>12</v>
      </c>
      <c r="B56" s="3" t="s">
        <v>21</v>
      </c>
      <c r="C56" s="1" t="s">
        <v>7</v>
      </c>
      <c r="D56" s="85">
        <f>0.52*1.06*1.05</f>
        <v>0.57876</v>
      </c>
      <c r="E56" s="85">
        <f>D56*1.2+0.01</f>
        <v>0.704512</v>
      </c>
      <c r="F56" s="126">
        <v>0.61</v>
      </c>
      <c r="G56" s="1">
        <v>0.73</v>
      </c>
      <c r="H56" s="128">
        <v>1.05</v>
      </c>
    </row>
    <row r="57" spans="1:8" ht="15">
      <c r="A57" s="1">
        <v>13</v>
      </c>
      <c r="B57" s="1" t="s">
        <v>22</v>
      </c>
      <c r="C57" s="1" t="s">
        <v>7</v>
      </c>
      <c r="D57" s="85">
        <f>0.62*1.06*1.05</f>
        <v>0.69006</v>
      </c>
      <c r="E57" s="85">
        <f>D57*1.2</f>
        <v>0.828072</v>
      </c>
      <c r="F57" s="125">
        <v>0.73</v>
      </c>
      <c r="G57" s="1">
        <v>0.88</v>
      </c>
      <c r="H57" s="128">
        <v>1.05</v>
      </c>
    </row>
    <row r="58" spans="1:8" ht="25.5">
      <c r="A58" s="1">
        <v>14</v>
      </c>
      <c r="B58" s="4" t="s">
        <v>23</v>
      </c>
      <c r="C58" s="1" t="s">
        <v>24</v>
      </c>
      <c r="D58" s="85">
        <f>0.58*1.06*1.05</f>
        <v>0.64554</v>
      </c>
      <c r="E58" s="85">
        <f>D58*1.2+0.01</f>
        <v>0.784648</v>
      </c>
      <c r="F58" s="125">
        <v>0.68</v>
      </c>
      <c r="G58" s="1">
        <v>0.82</v>
      </c>
      <c r="H58" s="128">
        <v>1.05</v>
      </c>
    </row>
    <row r="59" spans="1:8" ht="25.5">
      <c r="A59" s="1">
        <v>15</v>
      </c>
      <c r="B59" s="4" t="s">
        <v>25</v>
      </c>
      <c r="C59" s="1" t="s">
        <v>24</v>
      </c>
      <c r="D59" s="85">
        <f>0.21*1.06+1.05</f>
        <v>1.2726</v>
      </c>
      <c r="E59" s="85">
        <f>D59*1.2</f>
        <v>1.5271199999999998</v>
      </c>
      <c r="F59" s="125">
        <v>1.33</v>
      </c>
      <c r="G59" s="74">
        <v>1.6</v>
      </c>
      <c r="H59" s="128">
        <v>1.05</v>
      </c>
    </row>
    <row r="60" spans="1:8" ht="15">
      <c r="A60" s="50">
        <v>16</v>
      </c>
      <c r="B60" s="4" t="s">
        <v>635</v>
      </c>
      <c r="C60" s="1" t="s">
        <v>7</v>
      </c>
      <c r="D60" s="85">
        <f>0.38*1.05*1.05</f>
        <v>0.41895000000000004</v>
      </c>
      <c r="E60" s="85">
        <f>D60*1.2</f>
        <v>0.5027400000000001</v>
      </c>
      <c r="F60" s="125">
        <v>0.45</v>
      </c>
      <c r="G60" s="1">
        <v>0.54</v>
      </c>
      <c r="H60" s="128">
        <v>1.05</v>
      </c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2"/>
      <c r="B62" s="141" t="s">
        <v>5</v>
      </c>
      <c r="C62" s="141"/>
      <c r="D62" s="141"/>
      <c r="E62" s="141"/>
      <c r="F62" s="141"/>
    </row>
    <row r="63" spans="1:6" ht="12.75">
      <c r="A63" s="2"/>
      <c r="B63" s="141"/>
      <c r="C63" s="141"/>
      <c r="D63" s="141"/>
      <c r="E63" s="141"/>
      <c r="F63" s="141"/>
    </row>
    <row r="64" spans="1:6" ht="12.75">
      <c r="A64" s="2"/>
      <c r="B64" s="129"/>
      <c r="C64" s="129"/>
      <c r="D64" s="129"/>
      <c r="E64" s="129"/>
      <c r="F64" s="129"/>
    </row>
    <row r="65" spans="1:6" ht="12.75">
      <c r="A65" s="2"/>
      <c r="B65" s="53" t="s">
        <v>849</v>
      </c>
      <c r="C65" s="2"/>
      <c r="D65" s="2"/>
      <c r="E65" s="2"/>
      <c r="F65" s="2"/>
    </row>
  </sheetData>
  <sheetProtection/>
  <mergeCells count="17">
    <mergeCell ref="B62:F63"/>
    <mergeCell ref="G9:I9"/>
    <mergeCell ref="D8:F8"/>
    <mergeCell ref="E1:G1"/>
    <mergeCell ref="E2:N2"/>
    <mergeCell ref="E3:O3"/>
    <mergeCell ref="C7:I7"/>
    <mergeCell ref="B11:F11"/>
    <mergeCell ref="D9:F9"/>
    <mergeCell ref="G8:I8"/>
    <mergeCell ref="C6:F6"/>
    <mergeCell ref="B12:E12"/>
    <mergeCell ref="G6:I6"/>
    <mergeCell ref="A44:B44"/>
    <mergeCell ref="B39:H41"/>
    <mergeCell ref="B33:F33"/>
    <mergeCell ref="A15:B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4:E94"/>
  <sheetViews>
    <sheetView zoomScale="90" zoomScaleNormal="90" zoomScalePageLayoutView="0" workbookViewId="0" topLeftCell="A23">
      <selection activeCell="E78" sqref="E78"/>
    </sheetView>
  </sheetViews>
  <sheetFormatPr defaultColWidth="9.140625" defaultRowHeight="12.75"/>
  <cols>
    <col min="1" max="1" width="10.57421875" style="0" customWidth="1"/>
    <col min="2" max="2" width="85.140625" style="0" customWidth="1"/>
    <col min="3" max="3" width="13.7109375" style="0" customWidth="1"/>
    <col min="4" max="4" width="10.421875" style="0" customWidth="1"/>
    <col min="5" max="5" width="8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3" ht="34.5" customHeight="1"/>
    <row r="24" spans="1:5" ht="12.75">
      <c r="A24" s="2"/>
      <c r="B24" s="2"/>
      <c r="C24" s="131" t="s">
        <v>0</v>
      </c>
      <c r="D24" s="131"/>
      <c r="E24" s="131"/>
    </row>
    <row r="25" spans="1:5" ht="12.75">
      <c r="A25" s="2"/>
      <c r="B25" s="2"/>
      <c r="C25" s="132" t="s">
        <v>262</v>
      </c>
      <c r="D25" s="132"/>
      <c r="E25" s="132"/>
    </row>
    <row r="26" spans="1:5" ht="12.75">
      <c r="A26" s="2"/>
      <c r="B26" s="2"/>
      <c r="C26" s="145" t="s">
        <v>791</v>
      </c>
      <c r="D26" s="132"/>
      <c r="E26" s="132"/>
    </row>
    <row r="27" spans="1:5" ht="12.75">
      <c r="A27" s="2"/>
      <c r="B27" s="2"/>
      <c r="C27" s="145" t="s">
        <v>845</v>
      </c>
      <c r="D27" s="132"/>
      <c r="E27" s="132"/>
    </row>
    <row r="28" spans="1:2" ht="12.75">
      <c r="A28" s="2"/>
      <c r="B28" s="2"/>
    </row>
    <row r="29" spans="1:5" ht="18">
      <c r="A29" s="156" t="s">
        <v>311</v>
      </c>
      <c r="B29" s="142"/>
      <c r="C29" s="142"/>
      <c r="D29" s="142"/>
      <c r="E29" s="142"/>
    </row>
    <row r="30" spans="1:3" ht="18">
      <c r="A30" s="9"/>
      <c r="B30" s="10" t="s">
        <v>842</v>
      </c>
      <c r="C30" s="11"/>
    </row>
    <row r="31" spans="1:2" ht="12.75">
      <c r="A31" s="2"/>
      <c r="B31" s="2"/>
    </row>
    <row r="32" spans="1:5" ht="25.5">
      <c r="A32" s="1" t="s">
        <v>26</v>
      </c>
      <c r="B32" s="1" t="s">
        <v>27</v>
      </c>
      <c r="C32" s="4" t="s">
        <v>260</v>
      </c>
      <c r="D32" s="157" t="s">
        <v>9</v>
      </c>
      <c r="E32" s="158"/>
    </row>
    <row r="33" spans="1:5" ht="39" customHeight="1">
      <c r="A33" s="1"/>
      <c r="B33" s="1"/>
      <c r="C33" s="4"/>
      <c r="D33" s="5" t="s">
        <v>309</v>
      </c>
      <c r="E33" s="6" t="s">
        <v>310</v>
      </c>
    </row>
    <row r="34" spans="1:5" ht="15.75">
      <c r="A34" s="8">
        <v>1</v>
      </c>
      <c r="B34" s="8" t="s">
        <v>303</v>
      </c>
      <c r="C34" s="1"/>
      <c r="D34" s="1"/>
      <c r="E34" s="1"/>
    </row>
    <row r="35" spans="1:5" ht="15.75">
      <c r="A35" s="61" t="s">
        <v>31</v>
      </c>
      <c r="B35" s="61" t="s">
        <v>792</v>
      </c>
      <c r="C35" s="52" t="s">
        <v>307</v>
      </c>
      <c r="D35" s="74">
        <v>0.2</v>
      </c>
      <c r="E35" s="74">
        <v>0.2</v>
      </c>
    </row>
    <row r="36" spans="1:5" ht="15.75">
      <c r="A36" s="55" t="s">
        <v>265</v>
      </c>
      <c r="B36" s="55" t="s">
        <v>266</v>
      </c>
      <c r="C36" s="1"/>
      <c r="D36" s="1"/>
      <c r="E36" s="1"/>
    </row>
    <row r="37" spans="1:5" ht="31.5" customHeight="1">
      <c r="A37" s="55" t="s">
        <v>267</v>
      </c>
      <c r="B37" s="55" t="s">
        <v>268</v>
      </c>
      <c r="C37" s="1" t="s">
        <v>307</v>
      </c>
      <c r="D37" s="74">
        <f>0.37*1.06</f>
        <v>0.3922</v>
      </c>
      <c r="E37" s="74">
        <f>0.37*1.06</f>
        <v>0.3922</v>
      </c>
    </row>
    <row r="38" spans="1:5" ht="15.75">
      <c r="A38" s="55" t="s">
        <v>354</v>
      </c>
      <c r="B38" s="59" t="s">
        <v>269</v>
      </c>
      <c r="C38" s="1" t="s">
        <v>307</v>
      </c>
      <c r="D38" s="74">
        <v>0.5</v>
      </c>
      <c r="E38" s="74">
        <v>0.5</v>
      </c>
    </row>
    <row r="39" spans="1:5" ht="15.75">
      <c r="A39" s="55" t="s">
        <v>642</v>
      </c>
      <c r="B39" s="59" t="s">
        <v>793</v>
      </c>
      <c r="C39" s="1"/>
      <c r="D39" s="74"/>
      <c r="E39" s="74"/>
    </row>
    <row r="40" spans="1:5" ht="15.75">
      <c r="A40" s="55" t="s">
        <v>794</v>
      </c>
      <c r="B40" s="59" t="s">
        <v>795</v>
      </c>
      <c r="C40" s="52" t="s">
        <v>307</v>
      </c>
      <c r="D40" s="74">
        <v>0.3</v>
      </c>
      <c r="E40" s="74">
        <v>0.3</v>
      </c>
    </row>
    <row r="41" spans="1:5" ht="15.75">
      <c r="A41" s="8">
        <v>2</v>
      </c>
      <c r="B41" s="8" t="s">
        <v>304</v>
      </c>
      <c r="C41" s="1"/>
      <c r="D41" s="74"/>
      <c r="E41" s="74"/>
    </row>
    <row r="42" spans="1:5" ht="15.75">
      <c r="A42" s="59" t="s">
        <v>270</v>
      </c>
      <c r="B42" s="55" t="s">
        <v>271</v>
      </c>
      <c r="C42" s="1"/>
      <c r="D42" s="74"/>
      <c r="E42" s="74"/>
    </row>
    <row r="43" spans="1:5" ht="34.5" customHeight="1">
      <c r="A43" s="59" t="s">
        <v>272</v>
      </c>
      <c r="B43" s="55" t="s">
        <v>273</v>
      </c>
      <c r="C43" s="1" t="s">
        <v>308</v>
      </c>
      <c r="D43" s="74">
        <f>0.14*1.06</f>
        <v>0.14840000000000003</v>
      </c>
      <c r="E43" s="74">
        <f>0.14*1.06</f>
        <v>0.14840000000000003</v>
      </c>
    </row>
    <row r="44" spans="1:5" ht="15.75">
      <c r="A44" s="59" t="s">
        <v>274</v>
      </c>
      <c r="B44" s="55" t="s">
        <v>275</v>
      </c>
      <c r="C44" s="1" t="s">
        <v>308</v>
      </c>
      <c r="D44" s="74">
        <f>0.23*1.06</f>
        <v>0.24380000000000002</v>
      </c>
      <c r="E44" s="74">
        <f>0.05*1.06</f>
        <v>0.053000000000000005</v>
      </c>
    </row>
    <row r="45" spans="1:5" ht="15.75">
      <c r="A45" s="59" t="s">
        <v>276</v>
      </c>
      <c r="B45" s="55" t="s">
        <v>277</v>
      </c>
      <c r="C45" s="1"/>
      <c r="D45" s="74"/>
      <c r="E45" s="74"/>
    </row>
    <row r="46" spans="1:5" ht="20.25" customHeight="1">
      <c r="A46" s="59" t="s">
        <v>278</v>
      </c>
      <c r="B46" s="55" t="s">
        <v>279</v>
      </c>
      <c r="C46" s="1" t="s">
        <v>308</v>
      </c>
      <c r="D46" s="74">
        <f>0.14*1.06</f>
        <v>0.14840000000000003</v>
      </c>
      <c r="E46" s="74">
        <f>0.14*1.06</f>
        <v>0.14840000000000003</v>
      </c>
    </row>
    <row r="47" spans="1:5" ht="15.75">
      <c r="A47" s="59" t="s">
        <v>280</v>
      </c>
      <c r="B47" s="55" t="s">
        <v>281</v>
      </c>
      <c r="C47" s="1"/>
      <c r="D47" s="74"/>
      <c r="E47" s="74"/>
    </row>
    <row r="48" spans="1:5" ht="17.25" customHeight="1">
      <c r="A48" s="59" t="s">
        <v>282</v>
      </c>
      <c r="B48" s="55" t="s">
        <v>279</v>
      </c>
      <c r="C48" s="1" t="s">
        <v>308</v>
      </c>
      <c r="D48" s="74">
        <f>0.6*1.06</f>
        <v>0.636</v>
      </c>
      <c r="E48" s="74">
        <f>0.42*1.06</f>
        <v>0.4452</v>
      </c>
    </row>
    <row r="49" spans="1:5" ht="15.75">
      <c r="A49" s="59" t="s">
        <v>283</v>
      </c>
      <c r="B49" s="59" t="s">
        <v>284</v>
      </c>
      <c r="C49" s="1"/>
      <c r="D49" s="74"/>
      <c r="E49" s="74"/>
    </row>
    <row r="50" spans="1:5" ht="15.75" customHeight="1">
      <c r="A50" s="59" t="s">
        <v>285</v>
      </c>
      <c r="B50" s="55" t="s">
        <v>286</v>
      </c>
      <c r="C50" s="1" t="s">
        <v>308</v>
      </c>
      <c r="D50" s="74">
        <f>0.37*1.06</f>
        <v>0.3922</v>
      </c>
      <c r="E50" s="74">
        <f>0.23*1.06</f>
        <v>0.24380000000000002</v>
      </c>
    </row>
    <row r="51" spans="1:5" ht="30.75" customHeight="1">
      <c r="A51" s="59" t="s">
        <v>287</v>
      </c>
      <c r="B51" s="59" t="s">
        <v>288</v>
      </c>
      <c r="C51" s="1"/>
      <c r="D51" s="74"/>
      <c r="E51" s="74"/>
    </row>
    <row r="52" spans="1:5" ht="32.25" customHeight="1">
      <c r="A52" s="59" t="s">
        <v>99</v>
      </c>
      <c r="B52" s="55" t="s">
        <v>289</v>
      </c>
      <c r="C52" s="1" t="s">
        <v>308</v>
      </c>
      <c r="D52" s="74">
        <f>1.74*1.06</f>
        <v>1.8444</v>
      </c>
      <c r="E52" s="74">
        <f>1.74*1.06</f>
        <v>1.8444</v>
      </c>
    </row>
    <row r="53" spans="1:5" ht="15.75">
      <c r="A53" s="8">
        <v>3</v>
      </c>
      <c r="B53" s="8" t="s">
        <v>305</v>
      </c>
      <c r="C53" s="1"/>
      <c r="D53" s="74"/>
      <c r="E53" s="74"/>
    </row>
    <row r="54" spans="1:5" ht="15" customHeight="1">
      <c r="A54" s="59" t="s">
        <v>290</v>
      </c>
      <c r="B54" s="55" t="s">
        <v>291</v>
      </c>
      <c r="C54" s="1" t="s">
        <v>308</v>
      </c>
      <c r="D54" s="74">
        <f>0.37*1.06</f>
        <v>0.3922</v>
      </c>
      <c r="E54" s="74">
        <f>0.23*1.06</f>
        <v>0.24380000000000002</v>
      </c>
    </row>
    <row r="55" spans="1:5" ht="15.75">
      <c r="A55" s="59" t="s">
        <v>292</v>
      </c>
      <c r="B55" s="55" t="s">
        <v>293</v>
      </c>
      <c r="C55" s="1" t="s">
        <v>308</v>
      </c>
      <c r="D55" s="74">
        <f>0.87*1.06</f>
        <v>0.9222</v>
      </c>
      <c r="E55" s="74">
        <f>0.64*1.06</f>
        <v>0.6784</v>
      </c>
    </row>
    <row r="56" spans="1:5" ht="15" customHeight="1">
      <c r="A56" s="59" t="s">
        <v>126</v>
      </c>
      <c r="B56" s="55" t="s">
        <v>294</v>
      </c>
      <c r="C56" s="1" t="s">
        <v>308</v>
      </c>
      <c r="D56" s="74">
        <f>0.19*1.06</f>
        <v>0.20140000000000002</v>
      </c>
      <c r="E56" s="74">
        <f>0.19*1.06</f>
        <v>0.20140000000000002</v>
      </c>
    </row>
    <row r="57" spans="1:5" ht="15.75">
      <c r="A57" s="59" t="s">
        <v>295</v>
      </c>
      <c r="B57" s="59" t="s">
        <v>296</v>
      </c>
      <c r="C57" s="1"/>
      <c r="D57" s="74"/>
      <c r="E57" s="74"/>
    </row>
    <row r="58" spans="1:5" ht="15.75">
      <c r="A58" s="59" t="s">
        <v>297</v>
      </c>
      <c r="B58" s="55" t="s">
        <v>298</v>
      </c>
      <c r="C58" s="1" t="s">
        <v>308</v>
      </c>
      <c r="D58" s="74">
        <f>0.6*1.06</f>
        <v>0.636</v>
      </c>
      <c r="E58" s="74">
        <f>0.46*1.06</f>
        <v>0.48760000000000003</v>
      </c>
    </row>
    <row r="59" spans="1:5" ht="14.25">
      <c r="A59" s="90">
        <v>5</v>
      </c>
      <c r="B59" s="91" t="s">
        <v>796</v>
      </c>
      <c r="C59" s="92"/>
      <c r="D59" s="93"/>
      <c r="E59" s="93"/>
    </row>
    <row r="60" spans="1:5" ht="15.75">
      <c r="A60" s="98" t="s">
        <v>673</v>
      </c>
      <c r="B60" s="99" t="s">
        <v>797</v>
      </c>
      <c r="C60" s="92"/>
      <c r="D60" s="93"/>
      <c r="E60" s="93"/>
    </row>
    <row r="61" spans="1:5" ht="15.75">
      <c r="A61" s="98" t="s">
        <v>798</v>
      </c>
      <c r="B61" s="99" t="s">
        <v>799</v>
      </c>
      <c r="C61" s="92"/>
      <c r="D61" s="93"/>
      <c r="E61" s="93"/>
    </row>
    <row r="62" spans="1:5" ht="16.5" customHeight="1">
      <c r="A62" s="98" t="s">
        <v>800</v>
      </c>
      <c r="B62" s="99" t="s">
        <v>801</v>
      </c>
      <c r="C62" s="92"/>
      <c r="D62" s="93"/>
      <c r="E62" s="93"/>
    </row>
    <row r="63" spans="1:5" ht="31.5">
      <c r="A63" s="100" t="s">
        <v>802</v>
      </c>
      <c r="B63" s="99" t="s">
        <v>803</v>
      </c>
      <c r="C63" s="92"/>
      <c r="D63" s="93"/>
      <c r="E63" s="93"/>
    </row>
    <row r="64" spans="1:5" ht="17.25" customHeight="1">
      <c r="A64" s="98" t="s">
        <v>804</v>
      </c>
      <c r="B64" s="99" t="s">
        <v>805</v>
      </c>
      <c r="C64" s="95" t="s">
        <v>308</v>
      </c>
      <c r="D64" s="96">
        <v>0</v>
      </c>
      <c r="E64" s="96">
        <v>0.2</v>
      </c>
    </row>
    <row r="65" spans="1:5" ht="14.25">
      <c r="A65" s="90">
        <v>6</v>
      </c>
      <c r="B65" s="91" t="s">
        <v>806</v>
      </c>
      <c r="C65" s="92" t="s">
        <v>631</v>
      </c>
      <c r="D65" s="94" t="s">
        <v>631</v>
      </c>
      <c r="E65" s="94" t="s">
        <v>631</v>
      </c>
    </row>
    <row r="66" spans="1:5" ht="15.75">
      <c r="A66" s="101" t="s">
        <v>176</v>
      </c>
      <c r="B66" s="99" t="s">
        <v>807</v>
      </c>
      <c r="C66" s="92" t="s">
        <v>631</v>
      </c>
      <c r="D66" s="94" t="s">
        <v>631</v>
      </c>
      <c r="E66" s="94" t="s">
        <v>631</v>
      </c>
    </row>
    <row r="67" spans="1:5" ht="15.75">
      <c r="A67" s="101" t="s">
        <v>560</v>
      </c>
      <c r="B67" s="99" t="s">
        <v>808</v>
      </c>
      <c r="C67" s="92"/>
      <c r="D67" s="94"/>
      <c r="E67" s="94"/>
    </row>
    <row r="68" spans="1:5" ht="15.75">
      <c r="A68" s="98" t="s">
        <v>809</v>
      </c>
      <c r="B68" s="99" t="s">
        <v>810</v>
      </c>
      <c r="C68" s="95" t="s">
        <v>307</v>
      </c>
      <c r="D68" s="96">
        <v>0.4</v>
      </c>
      <c r="E68" s="96">
        <v>0.4</v>
      </c>
    </row>
    <row r="69" spans="1:5" ht="15.75">
      <c r="A69" s="101" t="s">
        <v>681</v>
      </c>
      <c r="B69" s="99" t="s">
        <v>811</v>
      </c>
      <c r="C69" s="95" t="s">
        <v>631</v>
      </c>
      <c r="D69" s="97" t="s">
        <v>631</v>
      </c>
      <c r="E69" s="97" t="s">
        <v>631</v>
      </c>
    </row>
    <row r="70" spans="1:5" ht="15.75">
      <c r="A70" s="98" t="s">
        <v>599</v>
      </c>
      <c r="B70" s="99" t="s">
        <v>812</v>
      </c>
      <c r="C70" s="95" t="s">
        <v>631</v>
      </c>
      <c r="D70" s="97" t="s">
        <v>631</v>
      </c>
      <c r="E70" s="97" t="s">
        <v>631</v>
      </c>
    </row>
    <row r="71" spans="1:5" ht="31.5">
      <c r="A71" s="101" t="s">
        <v>813</v>
      </c>
      <c r="B71" s="99" t="s">
        <v>814</v>
      </c>
      <c r="C71" s="95"/>
      <c r="D71" s="97"/>
      <c r="E71" s="97"/>
    </row>
    <row r="72" spans="1:5" ht="15.75">
      <c r="A72" s="98" t="s">
        <v>815</v>
      </c>
      <c r="B72" s="99" t="s">
        <v>816</v>
      </c>
      <c r="C72" s="95" t="s">
        <v>631</v>
      </c>
      <c r="D72" s="97" t="s">
        <v>631</v>
      </c>
      <c r="E72" s="97" t="s">
        <v>631</v>
      </c>
    </row>
    <row r="73" spans="1:5" ht="15.75" customHeight="1">
      <c r="A73" s="102" t="s">
        <v>817</v>
      </c>
      <c r="B73" s="99" t="s">
        <v>772</v>
      </c>
      <c r="C73" s="95" t="s">
        <v>308</v>
      </c>
      <c r="D73" s="96">
        <v>2.2</v>
      </c>
      <c r="E73" s="97">
        <v>0.75</v>
      </c>
    </row>
    <row r="74" spans="1:5" ht="31.5">
      <c r="A74" s="100" t="s">
        <v>818</v>
      </c>
      <c r="B74" s="99" t="s">
        <v>773</v>
      </c>
      <c r="C74" s="95" t="s">
        <v>308</v>
      </c>
      <c r="D74" s="96">
        <v>2.2</v>
      </c>
      <c r="E74" s="97">
        <v>0.75</v>
      </c>
    </row>
    <row r="75" spans="1:5" ht="14.25">
      <c r="A75" s="90">
        <v>7</v>
      </c>
      <c r="B75" s="91" t="s">
        <v>819</v>
      </c>
      <c r="C75" s="95" t="s">
        <v>631</v>
      </c>
      <c r="D75" s="97" t="s">
        <v>631</v>
      </c>
      <c r="E75" s="97" t="s">
        <v>631</v>
      </c>
    </row>
    <row r="76" spans="1:5" ht="15.75">
      <c r="A76" s="98" t="s">
        <v>840</v>
      </c>
      <c r="B76" s="99" t="s">
        <v>820</v>
      </c>
      <c r="C76" s="95" t="s">
        <v>631</v>
      </c>
      <c r="D76" s="97" t="s">
        <v>631</v>
      </c>
      <c r="E76" s="97" t="s">
        <v>631</v>
      </c>
    </row>
    <row r="77" spans="1:5" ht="31.5">
      <c r="A77" s="101" t="s">
        <v>821</v>
      </c>
      <c r="B77" s="99" t="s">
        <v>822</v>
      </c>
      <c r="C77" s="95"/>
      <c r="D77" s="97"/>
      <c r="E77" s="97"/>
    </row>
    <row r="78" spans="1:5" ht="17.25" customHeight="1">
      <c r="A78" s="98" t="s">
        <v>823</v>
      </c>
      <c r="B78" s="99" t="s">
        <v>824</v>
      </c>
      <c r="C78" s="95" t="s">
        <v>308</v>
      </c>
      <c r="D78" s="97">
        <v>2.05</v>
      </c>
      <c r="E78" s="96">
        <v>1.3</v>
      </c>
    </row>
    <row r="79" spans="1:5" ht="15.75">
      <c r="A79" s="98" t="s">
        <v>825</v>
      </c>
      <c r="B79" s="99" t="s">
        <v>826</v>
      </c>
      <c r="C79" s="95" t="s">
        <v>631</v>
      </c>
      <c r="D79" s="97" t="s">
        <v>631</v>
      </c>
      <c r="E79" s="97" t="s">
        <v>631</v>
      </c>
    </row>
    <row r="80" spans="1:5" ht="15" customHeight="1">
      <c r="A80" s="103" t="s">
        <v>827</v>
      </c>
      <c r="B80" s="99" t="s">
        <v>824</v>
      </c>
      <c r="C80" s="95" t="s">
        <v>308</v>
      </c>
      <c r="D80" s="96">
        <v>1.75</v>
      </c>
      <c r="E80" s="96">
        <v>1</v>
      </c>
    </row>
    <row r="81" spans="1:5" ht="31.5">
      <c r="A81" s="103" t="s">
        <v>828</v>
      </c>
      <c r="B81" s="99" t="s">
        <v>779</v>
      </c>
      <c r="C81" s="95" t="s">
        <v>308</v>
      </c>
      <c r="D81" s="96">
        <v>5.1</v>
      </c>
      <c r="E81" s="97">
        <v>1.45</v>
      </c>
    </row>
    <row r="82" spans="1:5" ht="15" customHeight="1">
      <c r="A82" s="103" t="s">
        <v>829</v>
      </c>
      <c r="B82" s="99" t="s">
        <v>780</v>
      </c>
      <c r="C82" s="95" t="s">
        <v>308</v>
      </c>
      <c r="D82" s="96">
        <v>5.1</v>
      </c>
      <c r="E82" s="97">
        <v>2.75</v>
      </c>
    </row>
    <row r="83" spans="1:5" ht="15.75">
      <c r="A83" s="103" t="s">
        <v>830</v>
      </c>
      <c r="B83" s="99" t="s">
        <v>831</v>
      </c>
      <c r="C83" s="95" t="s">
        <v>631</v>
      </c>
      <c r="D83" s="97" t="s">
        <v>631</v>
      </c>
      <c r="E83" s="97" t="s">
        <v>631</v>
      </c>
    </row>
    <row r="84" spans="1:5" ht="15.75">
      <c r="A84" s="103" t="s">
        <v>832</v>
      </c>
      <c r="B84" s="99" t="s">
        <v>833</v>
      </c>
      <c r="C84" s="95" t="s">
        <v>631</v>
      </c>
      <c r="D84" s="97" t="s">
        <v>631</v>
      </c>
      <c r="E84" s="97" t="s">
        <v>631</v>
      </c>
    </row>
    <row r="85" spans="1:5" ht="12.75">
      <c r="A85" s="159" t="s">
        <v>834</v>
      </c>
      <c r="B85" s="160" t="s">
        <v>835</v>
      </c>
      <c r="C85" s="148" t="s">
        <v>308</v>
      </c>
      <c r="D85" s="146">
        <v>0.4</v>
      </c>
      <c r="E85" s="148">
        <v>0</v>
      </c>
    </row>
    <row r="86" spans="1:5" ht="21.75" customHeight="1">
      <c r="A86" s="151"/>
      <c r="B86" s="161"/>
      <c r="C86" s="149"/>
      <c r="D86" s="147"/>
      <c r="E86" s="149"/>
    </row>
    <row r="87" spans="1:5" ht="17.25" customHeight="1">
      <c r="A87" s="104" t="s">
        <v>836</v>
      </c>
      <c r="B87" s="105" t="s">
        <v>837</v>
      </c>
      <c r="C87" s="95"/>
      <c r="D87" s="97"/>
      <c r="E87" s="97"/>
    </row>
    <row r="88" spans="1:5" ht="12.75">
      <c r="A88" s="150" t="s">
        <v>838</v>
      </c>
      <c r="B88" s="152" t="s">
        <v>839</v>
      </c>
      <c r="C88" s="148" t="s">
        <v>308</v>
      </c>
      <c r="D88" s="148">
        <v>1.55</v>
      </c>
      <c r="E88" s="148">
        <v>1.55</v>
      </c>
    </row>
    <row r="89" spans="1:5" ht="5.25" customHeight="1">
      <c r="A89" s="151"/>
      <c r="B89" s="153"/>
      <c r="C89" s="154"/>
      <c r="D89" s="154"/>
      <c r="E89" s="154"/>
    </row>
    <row r="90" spans="1:5" ht="12.75" customHeight="1">
      <c r="A90" s="8">
        <v>8</v>
      </c>
      <c r="B90" s="8" t="s">
        <v>306</v>
      </c>
      <c r="C90" s="1"/>
      <c r="D90" s="74"/>
      <c r="E90" s="74"/>
    </row>
    <row r="91" spans="1:5" ht="17.25" customHeight="1">
      <c r="A91" s="55" t="s">
        <v>299</v>
      </c>
      <c r="B91" s="59" t="s">
        <v>300</v>
      </c>
      <c r="C91" s="1"/>
      <c r="D91" s="74"/>
      <c r="E91" s="74"/>
    </row>
    <row r="92" spans="1:5" ht="33.75" customHeight="1">
      <c r="A92" s="55" t="s">
        <v>301</v>
      </c>
      <c r="B92" s="55" t="s">
        <v>302</v>
      </c>
      <c r="C92" s="1" t="s">
        <v>308</v>
      </c>
      <c r="D92" s="106">
        <f>1.51*1.06</f>
        <v>1.6006</v>
      </c>
      <c r="E92" s="106">
        <v>0</v>
      </c>
    </row>
    <row r="93" spans="1:5" ht="12.75">
      <c r="A93" s="155"/>
      <c r="B93" s="155"/>
      <c r="C93" s="155"/>
      <c r="D93" s="155"/>
      <c r="E93" s="155"/>
    </row>
    <row r="94" ht="12.75">
      <c r="B94" s="53" t="s">
        <v>841</v>
      </c>
    </row>
  </sheetData>
  <sheetProtection/>
  <mergeCells count="17">
    <mergeCell ref="A93:E93"/>
    <mergeCell ref="A29:E29"/>
    <mergeCell ref="C24:E24"/>
    <mergeCell ref="C25:E25"/>
    <mergeCell ref="C26:E26"/>
    <mergeCell ref="D32:E32"/>
    <mergeCell ref="C27:E27"/>
    <mergeCell ref="A85:A86"/>
    <mergeCell ref="B85:B86"/>
    <mergeCell ref="C85:C86"/>
    <mergeCell ref="D85:D86"/>
    <mergeCell ref="E85:E86"/>
    <mergeCell ref="A88:A89"/>
    <mergeCell ref="B88:B89"/>
    <mergeCell ref="C88:C89"/>
    <mergeCell ref="D88:D89"/>
    <mergeCell ref="E88:E89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7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6"/>
  <sheetViews>
    <sheetView view="pageBreakPreview" zoomScaleSheetLayoutView="100" zoomScalePageLayoutView="0" workbookViewId="0" topLeftCell="A1">
      <selection activeCell="B234" sqref="B234"/>
    </sheetView>
  </sheetViews>
  <sheetFormatPr defaultColWidth="9.140625" defaultRowHeight="12.75"/>
  <cols>
    <col min="2" max="2" width="80.421875" style="0" customWidth="1"/>
    <col min="3" max="3" width="13.57421875" style="0" customWidth="1"/>
    <col min="4" max="8" width="9.140625" style="0" hidden="1" customWidth="1"/>
    <col min="9" max="9" width="12.57421875" style="113" bestFit="1" customWidth="1"/>
    <col min="10" max="10" width="9.57421875" style="0" bestFit="1" customWidth="1"/>
  </cols>
  <sheetData>
    <row r="1" spans="3:11" ht="12.75">
      <c r="C1" s="191" t="s">
        <v>641</v>
      </c>
      <c r="D1" s="143"/>
      <c r="E1" s="143"/>
      <c r="F1" s="143"/>
      <c r="G1" s="143"/>
      <c r="H1" s="143"/>
      <c r="I1" s="143"/>
      <c r="J1" s="143"/>
      <c r="K1" s="143"/>
    </row>
    <row r="2" spans="3:11" ht="12.75">
      <c r="C2" s="145" t="s">
        <v>761</v>
      </c>
      <c r="D2" s="132"/>
      <c r="E2" s="132"/>
      <c r="F2" s="132"/>
      <c r="G2" s="132"/>
      <c r="H2" s="132"/>
      <c r="I2" s="132"/>
      <c r="J2" s="132"/>
      <c r="K2" s="132"/>
    </row>
    <row r="4" spans="3:11" ht="12.75">
      <c r="C4" s="145" t="s">
        <v>847</v>
      </c>
      <c r="D4" s="132"/>
      <c r="E4" s="132"/>
      <c r="F4" s="132"/>
      <c r="G4" s="132"/>
      <c r="H4" s="132"/>
      <c r="I4" s="132"/>
      <c r="J4" s="132"/>
      <c r="K4" s="132"/>
    </row>
    <row r="5" spans="1:11" ht="18" customHeight="1">
      <c r="A5" s="183" t="s">
        <v>632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9.5" customHeight="1" hidden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19.5">
      <c r="A7" s="184" t="s">
        <v>321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ht="12.75" customHeight="1" hidden="1"/>
    <row r="9" spans="1:11" ht="24" customHeight="1">
      <c r="A9" s="195" t="s">
        <v>789</v>
      </c>
      <c r="B9" s="195" t="s">
        <v>633</v>
      </c>
      <c r="C9" s="185" t="s">
        <v>790</v>
      </c>
      <c r="D9" s="189" t="s">
        <v>322</v>
      </c>
      <c r="E9" s="190"/>
      <c r="F9" s="192" t="s">
        <v>323</v>
      </c>
      <c r="G9" s="193"/>
      <c r="H9" s="185" t="s">
        <v>324</v>
      </c>
      <c r="I9" s="189" t="s">
        <v>629</v>
      </c>
      <c r="J9" s="190"/>
      <c r="K9" s="185" t="s">
        <v>630</v>
      </c>
    </row>
    <row r="10" spans="1:11" ht="25.5">
      <c r="A10" s="197"/>
      <c r="B10" s="196"/>
      <c r="C10" s="186"/>
      <c r="D10" s="14" t="s">
        <v>325</v>
      </c>
      <c r="E10" s="14" t="s">
        <v>326</v>
      </c>
      <c r="F10" s="14" t="s">
        <v>325</v>
      </c>
      <c r="G10" s="14" t="s">
        <v>326</v>
      </c>
      <c r="H10" s="186"/>
      <c r="I10" s="114" t="s">
        <v>325</v>
      </c>
      <c r="J10" s="14" t="s">
        <v>325</v>
      </c>
      <c r="K10" s="186"/>
    </row>
    <row r="11" spans="1:11" ht="12.75">
      <c r="A11" s="109">
        <v>1</v>
      </c>
      <c r="B11" s="109">
        <v>2</v>
      </c>
      <c r="C11" s="109">
        <v>3</v>
      </c>
      <c r="D11" s="109">
        <v>4</v>
      </c>
      <c r="E11" s="110">
        <v>5</v>
      </c>
      <c r="F11" s="110">
        <v>6</v>
      </c>
      <c r="G11" s="110">
        <v>7</v>
      </c>
      <c r="H11" s="110">
        <v>8</v>
      </c>
      <c r="I11" s="115">
        <v>9</v>
      </c>
      <c r="J11" s="110">
        <v>10</v>
      </c>
      <c r="K11" s="52">
        <v>11</v>
      </c>
    </row>
    <row r="12" spans="1:11" ht="12.75">
      <c r="A12" s="28" t="s">
        <v>327</v>
      </c>
      <c r="B12" s="28" t="s">
        <v>328</v>
      </c>
      <c r="C12" s="1"/>
      <c r="D12" s="1"/>
      <c r="E12" s="1"/>
      <c r="F12" s="1"/>
      <c r="G12" s="1"/>
      <c r="H12" s="1"/>
      <c r="I12" s="116"/>
      <c r="J12" s="1"/>
      <c r="K12" s="1"/>
    </row>
    <row r="13" spans="1:11" ht="12.75">
      <c r="A13" s="28" t="s">
        <v>29</v>
      </c>
      <c r="B13" s="28" t="s">
        <v>329</v>
      </c>
      <c r="C13" s="1"/>
      <c r="D13" s="1"/>
      <c r="E13" s="1"/>
      <c r="F13" s="1"/>
      <c r="G13" s="1"/>
      <c r="H13" s="15"/>
      <c r="I13" s="116"/>
      <c r="J13" s="1"/>
      <c r="K13" s="1"/>
    </row>
    <row r="14" spans="1:11" ht="14.25" customHeight="1">
      <c r="A14" s="28" t="s">
        <v>330</v>
      </c>
      <c r="B14" s="40" t="s">
        <v>30</v>
      </c>
      <c r="C14" s="4" t="s">
        <v>331</v>
      </c>
      <c r="D14" s="1">
        <v>13680</v>
      </c>
      <c r="E14" s="1"/>
      <c r="F14" s="1">
        <v>3300</v>
      </c>
      <c r="G14" s="1"/>
      <c r="H14" s="49">
        <f aca="true" t="shared" si="0" ref="H14:H77">D14/F14*100</f>
        <v>414.54545454545456</v>
      </c>
      <c r="I14" s="117">
        <f>0.79*1.08*1.06</f>
        <v>0.9043920000000001</v>
      </c>
      <c r="J14" s="111">
        <f aca="true" t="shared" si="1" ref="J14:J45">I14*1.05</f>
        <v>0.9496116000000001</v>
      </c>
      <c r="K14" s="16"/>
    </row>
    <row r="15" spans="1:11" ht="13.5" customHeight="1">
      <c r="A15" s="28" t="s">
        <v>332</v>
      </c>
      <c r="B15" s="40" t="s">
        <v>32</v>
      </c>
      <c r="C15" s="4" t="s">
        <v>331</v>
      </c>
      <c r="D15" s="1">
        <v>6840</v>
      </c>
      <c r="E15" s="1"/>
      <c r="F15" s="1">
        <v>2200</v>
      </c>
      <c r="G15" s="1"/>
      <c r="H15" s="49">
        <f t="shared" si="0"/>
        <v>310.9090909090909</v>
      </c>
      <c r="I15" s="117">
        <f>0.535*1.08*1.06</f>
        <v>0.6124680000000001</v>
      </c>
      <c r="J15" s="111">
        <f t="shared" si="1"/>
        <v>0.6430914000000002</v>
      </c>
      <c r="K15" s="16"/>
    </row>
    <row r="16" spans="1:11" ht="12.75" customHeight="1">
      <c r="A16" s="28" t="s">
        <v>333</v>
      </c>
      <c r="B16" s="40" t="s">
        <v>34</v>
      </c>
      <c r="C16" s="4" t="s">
        <v>334</v>
      </c>
      <c r="D16" s="1">
        <v>3420</v>
      </c>
      <c r="E16" s="1"/>
      <c r="F16" s="1">
        <v>1350</v>
      </c>
      <c r="G16" s="1"/>
      <c r="H16" s="49">
        <f t="shared" si="0"/>
        <v>253.33333333333331</v>
      </c>
      <c r="I16" s="117">
        <f>0.33*1.08*1.06</f>
        <v>0.37778400000000006</v>
      </c>
      <c r="J16" s="111">
        <f t="shared" si="1"/>
        <v>0.39667320000000006</v>
      </c>
      <c r="K16" s="16"/>
    </row>
    <row r="17" spans="1:11" ht="12.75" customHeight="1">
      <c r="A17" s="28" t="s">
        <v>335</v>
      </c>
      <c r="B17" s="40" t="s">
        <v>336</v>
      </c>
      <c r="C17" s="4" t="s">
        <v>334</v>
      </c>
      <c r="D17" s="1">
        <v>3420</v>
      </c>
      <c r="E17" s="1"/>
      <c r="F17" s="1">
        <v>1350</v>
      </c>
      <c r="G17" s="1"/>
      <c r="H17" s="49">
        <f t="shared" si="0"/>
        <v>253.33333333333331</v>
      </c>
      <c r="I17" s="117">
        <f>0.33*1.08*1.06</f>
        <v>0.37778400000000006</v>
      </c>
      <c r="J17" s="111">
        <f t="shared" si="1"/>
        <v>0.39667320000000006</v>
      </c>
      <c r="K17" s="16"/>
    </row>
    <row r="18" spans="1:11" ht="12.75" customHeight="1">
      <c r="A18" s="28" t="s">
        <v>337</v>
      </c>
      <c r="B18" s="40" t="s">
        <v>338</v>
      </c>
      <c r="C18" s="4" t="s">
        <v>334</v>
      </c>
      <c r="D18" s="1">
        <v>6840</v>
      </c>
      <c r="E18" s="1"/>
      <c r="F18" s="1">
        <v>1600</v>
      </c>
      <c r="G18" s="1"/>
      <c r="H18" s="49">
        <f t="shared" si="0"/>
        <v>427.50000000000006</v>
      </c>
      <c r="I18" s="117">
        <f>0.21*1.08*1.06</f>
        <v>0.240408</v>
      </c>
      <c r="J18" s="111">
        <f t="shared" si="1"/>
        <v>0.2524284</v>
      </c>
      <c r="K18" s="16"/>
    </row>
    <row r="19" spans="1:11" ht="12" customHeight="1">
      <c r="A19" s="28" t="s">
        <v>339</v>
      </c>
      <c r="B19" s="40" t="s">
        <v>340</v>
      </c>
      <c r="C19" s="4" t="s">
        <v>315</v>
      </c>
      <c r="D19" s="1">
        <v>2740</v>
      </c>
      <c r="E19" s="1"/>
      <c r="F19" s="1">
        <v>850</v>
      </c>
      <c r="G19" s="1"/>
      <c r="H19" s="49">
        <f t="shared" si="0"/>
        <v>322.3529411764706</v>
      </c>
      <c r="I19" s="117">
        <f>0.21*1.08*1.06</f>
        <v>0.240408</v>
      </c>
      <c r="J19" s="111">
        <f t="shared" si="1"/>
        <v>0.2524284</v>
      </c>
      <c r="K19" s="16"/>
    </row>
    <row r="20" spans="1:11" ht="12.75" customHeight="1">
      <c r="A20" s="28" t="s">
        <v>341</v>
      </c>
      <c r="B20" s="40" t="s">
        <v>342</v>
      </c>
      <c r="C20" s="4" t="s">
        <v>315</v>
      </c>
      <c r="D20" s="1">
        <v>2050</v>
      </c>
      <c r="E20" s="1"/>
      <c r="F20" s="1">
        <v>470</v>
      </c>
      <c r="G20" s="1"/>
      <c r="H20" s="49">
        <f t="shared" si="0"/>
        <v>436.17021276595744</v>
      </c>
      <c r="I20" s="117">
        <f>0.11*1.08*1.06</f>
        <v>0.125928</v>
      </c>
      <c r="J20" s="111">
        <f t="shared" si="1"/>
        <v>0.13222440000000002</v>
      </c>
      <c r="K20" s="16"/>
    </row>
    <row r="21" spans="1:11" ht="13.5" customHeight="1">
      <c r="A21" s="28" t="s">
        <v>343</v>
      </c>
      <c r="B21" s="40" t="s">
        <v>344</v>
      </c>
      <c r="C21" s="4" t="s">
        <v>334</v>
      </c>
      <c r="D21" s="1">
        <v>5470</v>
      </c>
      <c r="E21" s="1"/>
      <c r="F21" s="1">
        <v>1350</v>
      </c>
      <c r="G21" s="1"/>
      <c r="H21" s="49">
        <f t="shared" si="0"/>
        <v>405.1851851851852</v>
      </c>
      <c r="I21" s="117">
        <f>0.33*1.08*1.06</f>
        <v>0.37778400000000006</v>
      </c>
      <c r="J21" s="111">
        <f t="shared" si="1"/>
        <v>0.39667320000000006</v>
      </c>
      <c r="K21" s="16"/>
    </row>
    <row r="22" spans="1:11" ht="11.25" customHeight="1">
      <c r="A22" s="28" t="s">
        <v>345</v>
      </c>
      <c r="B22" s="40" t="s">
        <v>38</v>
      </c>
      <c r="C22" s="4" t="s">
        <v>315</v>
      </c>
      <c r="D22" s="1">
        <v>2050</v>
      </c>
      <c r="E22" s="1"/>
      <c r="F22" s="1">
        <v>550</v>
      </c>
      <c r="G22" s="1"/>
      <c r="H22" s="49">
        <f t="shared" si="0"/>
        <v>372.7272727272727</v>
      </c>
      <c r="I22" s="117">
        <f>0.13*1.08*1.06</f>
        <v>0.14882400000000004</v>
      </c>
      <c r="J22" s="111">
        <f t="shared" si="1"/>
        <v>0.15626520000000005</v>
      </c>
      <c r="K22" s="16"/>
    </row>
    <row r="23" spans="1:11" ht="13.5" customHeight="1">
      <c r="A23" s="28" t="s">
        <v>346</v>
      </c>
      <c r="B23" s="17" t="s">
        <v>347</v>
      </c>
      <c r="C23" s="4" t="s">
        <v>315</v>
      </c>
      <c r="D23" s="1">
        <v>4100</v>
      </c>
      <c r="E23" s="1"/>
      <c r="F23" s="1">
        <v>1150</v>
      </c>
      <c r="G23" s="1"/>
      <c r="H23" s="49">
        <f t="shared" si="0"/>
        <v>356.52173913043475</v>
      </c>
      <c r="I23" s="117">
        <f>0.28*1.08*1.06</f>
        <v>0.32054400000000005</v>
      </c>
      <c r="J23" s="111">
        <f t="shared" si="1"/>
        <v>0.33657120000000007</v>
      </c>
      <c r="K23" s="16"/>
    </row>
    <row r="24" spans="1:11" ht="13.5" customHeight="1">
      <c r="A24" s="28" t="s">
        <v>787</v>
      </c>
      <c r="B24" s="40" t="s">
        <v>788</v>
      </c>
      <c r="C24" s="51" t="s">
        <v>315</v>
      </c>
      <c r="D24" s="1"/>
      <c r="E24" s="1"/>
      <c r="F24" s="1"/>
      <c r="G24" s="1"/>
      <c r="H24" s="49"/>
      <c r="I24" s="117">
        <f>1.34*1.08*1.06</f>
        <v>1.5340320000000003</v>
      </c>
      <c r="J24" s="111">
        <f t="shared" si="1"/>
        <v>1.6107336000000003</v>
      </c>
      <c r="K24" s="16"/>
    </row>
    <row r="25" spans="1:11" ht="15" customHeight="1">
      <c r="A25" s="28" t="s">
        <v>348</v>
      </c>
      <c r="B25" s="18" t="s">
        <v>42</v>
      </c>
      <c r="C25" s="4" t="s">
        <v>315</v>
      </c>
      <c r="D25" s="1">
        <v>2740</v>
      </c>
      <c r="E25" s="1"/>
      <c r="F25" s="1">
        <v>850</v>
      </c>
      <c r="G25" s="1"/>
      <c r="H25" s="49">
        <f t="shared" si="0"/>
        <v>322.3529411764706</v>
      </c>
      <c r="I25" s="117">
        <f>0.2*1.08*1.06</f>
        <v>0.22896000000000002</v>
      </c>
      <c r="J25" s="111">
        <f t="shared" si="1"/>
        <v>0.24040800000000004</v>
      </c>
      <c r="K25" s="16"/>
    </row>
    <row r="26" spans="1:11" ht="13.5" customHeight="1">
      <c r="A26" s="19" t="s">
        <v>267</v>
      </c>
      <c r="B26" s="20" t="s">
        <v>58</v>
      </c>
      <c r="C26" s="4" t="s">
        <v>349</v>
      </c>
      <c r="D26" s="1">
        <v>6840</v>
      </c>
      <c r="E26" s="1"/>
      <c r="F26" s="1">
        <v>1950</v>
      </c>
      <c r="G26" s="1"/>
      <c r="H26" s="49">
        <f t="shared" si="0"/>
        <v>350.7692307692308</v>
      </c>
      <c r="I26" s="117">
        <f>0.48*1.08*1.06</f>
        <v>0.549504</v>
      </c>
      <c r="J26" s="111">
        <f t="shared" si="1"/>
        <v>0.5769792</v>
      </c>
      <c r="K26" s="16"/>
    </row>
    <row r="27" spans="1:11" ht="14.25" customHeight="1">
      <c r="A27" s="19" t="s">
        <v>350</v>
      </c>
      <c r="B27" s="20" t="s">
        <v>60</v>
      </c>
      <c r="C27" s="4" t="s">
        <v>349</v>
      </c>
      <c r="D27" s="1">
        <v>10260</v>
      </c>
      <c r="E27" s="1"/>
      <c r="F27" s="1">
        <v>2900</v>
      </c>
      <c r="G27" s="1"/>
      <c r="H27" s="49">
        <f t="shared" si="0"/>
        <v>353.7931034482759</v>
      </c>
      <c r="I27" s="117">
        <f>0.7*1.08*1.06</f>
        <v>0.8013600000000001</v>
      </c>
      <c r="J27" s="111">
        <f t="shared" si="1"/>
        <v>0.8414280000000001</v>
      </c>
      <c r="K27" s="16"/>
    </row>
    <row r="28" spans="1:11" ht="12.75">
      <c r="A28" s="21" t="s">
        <v>351</v>
      </c>
      <c r="B28" s="22" t="s">
        <v>352</v>
      </c>
      <c r="C28" s="4" t="s">
        <v>349</v>
      </c>
      <c r="D28" s="1">
        <v>3420</v>
      </c>
      <c r="E28" s="1"/>
      <c r="F28" s="1">
        <v>650</v>
      </c>
      <c r="G28" s="1"/>
      <c r="H28" s="49">
        <f t="shared" si="0"/>
        <v>526.1538461538462</v>
      </c>
      <c r="I28" s="117">
        <f>0.16*1.08*1.06</f>
        <v>0.18316800000000003</v>
      </c>
      <c r="J28" s="111">
        <f t="shared" si="1"/>
        <v>0.19232640000000004</v>
      </c>
      <c r="K28" s="16"/>
    </row>
    <row r="29" spans="1:11" ht="12.75">
      <c r="A29" s="23" t="s">
        <v>353</v>
      </c>
      <c r="B29" s="24" t="s">
        <v>46</v>
      </c>
      <c r="C29" s="4" t="s">
        <v>349</v>
      </c>
      <c r="D29" s="1">
        <v>8210</v>
      </c>
      <c r="E29" s="1"/>
      <c r="F29" s="1">
        <v>2800</v>
      </c>
      <c r="G29" s="1"/>
      <c r="H29" s="49">
        <f t="shared" si="0"/>
        <v>293.21428571428567</v>
      </c>
      <c r="I29" s="117">
        <f>0.68*1.08*1.06</f>
        <v>0.778464</v>
      </c>
      <c r="J29" s="111">
        <f t="shared" si="1"/>
        <v>0.8173872000000001</v>
      </c>
      <c r="K29" s="16"/>
    </row>
    <row r="30" spans="1:11" ht="12.75">
      <c r="A30" s="25" t="s">
        <v>354</v>
      </c>
      <c r="B30" s="22" t="s">
        <v>48</v>
      </c>
      <c r="C30" s="4" t="s">
        <v>349</v>
      </c>
      <c r="D30" s="1">
        <v>4100</v>
      </c>
      <c r="E30" s="1"/>
      <c r="F30" s="1">
        <v>1150</v>
      </c>
      <c r="G30" s="1"/>
      <c r="H30" s="49">
        <f t="shared" si="0"/>
        <v>356.52173913043475</v>
      </c>
      <c r="I30" s="117">
        <f>0.28*1.08*1.06</f>
        <v>0.32054400000000005</v>
      </c>
      <c r="J30" s="111">
        <f t="shared" si="1"/>
        <v>0.33657120000000007</v>
      </c>
      <c r="K30" s="16"/>
    </row>
    <row r="31" spans="1:11" ht="12.75">
      <c r="A31" s="23" t="s">
        <v>355</v>
      </c>
      <c r="B31" s="22" t="s">
        <v>50</v>
      </c>
      <c r="C31" s="4" t="s">
        <v>349</v>
      </c>
      <c r="D31" s="1">
        <v>3420</v>
      </c>
      <c r="E31" s="1"/>
      <c r="F31" s="1">
        <v>650</v>
      </c>
      <c r="G31" s="1"/>
      <c r="H31" s="49">
        <f t="shared" si="0"/>
        <v>526.1538461538462</v>
      </c>
      <c r="I31" s="117">
        <f>0.16*1.08*1.06</f>
        <v>0.18316800000000003</v>
      </c>
      <c r="J31" s="111">
        <f t="shared" si="1"/>
        <v>0.19232640000000004</v>
      </c>
      <c r="K31" s="16"/>
    </row>
    <row r="32" spans="1:11" ht="12.75">
      <c r="A32" s="25" t="s">
        <v>356</v>
      </c>
      <c r="B32" s="22" t="s">
        <v>52</v>
      </c>
      <c r="C32" s="4" t="s">
        <v>349</v>
      </c>
      <c r="D32" s="1">
        <v>6840</v>
      </c>
      <c r="E32" s="1"/>
      <c r="F32" s="1">
        <v>650</v>
      </c>
      <c r="G32" s="1"/>
      <c r="H32" s="49">
        <f t="shared" si="0"/>
        <v>1052.3076923076924</v>
      </c>
      <c r="I32" s="117">
        <f>0.16*1.08*1.06</f>
        <v>0.18316800000000003</v>
      </c>
      <c r="J32" s="111">
        <f t="shared" si="1"/>
        <v>0.19232640000000004</v>
      </c>
      <c r="K32" s="16"/>
    </row>
    <row r="33" spans="1:11" ht="15" customHeight="1">
      <c r="A33" s="25" t="s">
        <v>357</v>
      </c>
      <c r="B33" s="26" t="s">
        <v>358</v>
      </c>
      <c r="C33" s="4" t="s">
        <v>349</v>
      </c>
      <c r="D33" s="1">
        <v>13680</v>
      </c>
      <c r="E33" s="1"/>
      <c r="F33" s="1">
        <v>1590</v>
      </c>
      <c r="G33" s="1"/>
      <c r="H33" s="49">
        <f t="shared" si="0"/>
        <v>860.377358490566</v>
      </c>
      <c r="I33" s="117">
        <f>0.39*1.08*1.06</f>
        <v>0.44647200000000004</v>
      </c>
      <c r="J33" s="111">
        <f t="shared" si="1"/>
        <v>0.46879560000000003</v>
      </c>
      <c r="K33" s="16"/>
    </row>
    <row r="34" spans="1:11" ht="12.75">
      <c r="A34" s="25" t="s">
        <v>359</v>
      </c>
      <c r="B34" s="22" t="s">
        <v>360</v>
      </c>
      <c r="C34" s="4" t="s">
        <v>349</v>
      </c>
      <c r="D34" s="1">
        <v>2050</v>
      </c>
      <c r="E34" s="1"/>
      <c r="F34" s="1">
        <v>710</v>
      </c>
      <c r="G34" s="1"/>
      <c r="H34" s="49">
        <f t="shared" si="0"/>
        <v>288.7323943661972</v>
      </c>
      <c r="I34" s="117">
        <f>0.17*1.08*1.06</f>
        <v>0.194616</v>
      </c>
      <c r="J34" s="111">
        <f t="shared" si="1"/>
        <v>0.20434680000000002</v>
      </c>
      <c r="K34" s="16"/>
    </row>
    <row r="35" spans="1:11" ht="12.75">
      <c r="A35" s="27" t="s">
        <v>361</v>
      </c>
      <c r="B35" s="28" t="s">
        <v>362</v>
      </c>
      <c r="C35" s="4" t="s">
        <v>349</v>
      </c>
      <c r="D35" s="1">
        <v>2050</v>
      </c>
      <c r="E35" s="1"/>
      <c r="F35" s="1">
        <v>740</v>
      </c>
      <c r="G35" s="1"/>
      <c r="H35" s="49">
        <f t="shared" si="0"/>
        <v>277.02702702702703</v>
      </c>
      <c r="I35" s="117">
        <f>0.18*1.08*1.06</f>
        <v>0.20606400000000002</v>
      </c>
      <c r="J35" s="111">
        <f t="shared" si="1"/>
        <v>0.21636720000000004</v>
      </c>
      <c r="K35" s="16"/>
    </row>
    <row r="36" spans="1:11" ht="12.75">
      <c r="A36" s="27" t="s">
        <v>363</v>
      </c>
      <c r="B36" s="28" t="s">
        <v>364</v>
      </c>
      <c r="C36" s="4" t="s">
        <v>349</v>
      </c>
      <c r="D36" s="1">
        <v>2050</v>
      </c>
      <c r="E36" s="1"/>
      <c r="F36" s="1">
        <v>990</v>
      </c>
      <c r="G36" s="1"/>
      <c r="H36" s="49">
        <f t="shared" si="0"/>
        <v>207.07070707070704</v>
      </c>
      <c r="I36" s="117">
        <f>0.24*1.08*1.06</f>
        <v>0.274752</v>
      </c>
      <c r="J36" s="111">
        <f t="shared" si="1"/>
        <v>0.2884896</v>
      </c>
      <c r="K36" s="16"/>
    </row>
    <row r="37" spans="1:11" ht="13.5" customHeight="1">
      <c r="A37" s="25" t="s">
        <v>365</v>
      </c>
      <c r="B37" s="26" t="s">
        <v>366</v>
      </c>
      <c r="C37" s="4" t="s">
        <v>349</v>
      </c>
      <c r="D37" s="1">
        <v>2740</v>
      </c>
      <c r="E37" s="1"/>
      <c r="F37" s="1">
        <v>660</v>
      </c>
      <c r="G37" s="1"/>
      <c r="H37" s="49">
        <f t="shared" si="0"/>
        <v>415.1515151515151</v>
      </c>
      <c r="I37" s="117">
        <f>0.16*1.08*1.06</f>
        <v>0.18316800000000003</v>
      </c>
      <c r="J37" s="111">
        <f t="shared" si="1"/>
        <v>0.19232640000000004</v>
      </c>
      <c r="K37" s="16"/>
    </row>
    <row r="38" spans="1:11" ht="13.5" customHeight="1">
      <c r="A38" s="25" t="s">
        <v>367</v>
      </c>
      <c r="B38" s="26" t="s">
        <v>368</v>
      </c>
      <c r="C38" s="4" t="s">
        <v>349</v>
      </c>
      <c r="D38" s="1">
        <v>10260</v>
      </c>
      <c r="E38" s="1"/>
      <c r="F38" s="1">
        <v>3470</v>
      </c>
      <c r="G38" s="1"/>
      <c r="H38" s="49">
        <f t="shared" si="0"/>
        <v>295.6772334293948</v>
      </c>
      <c r="I38" s="117">
        <f>0.84*1.08*1.06</f>
        <v>0.961632</v>
      </c>
      <c r="J38" s="111">
        <f t="shared" si="1"/>
        <v>1.0097136</v>
      </c>
      <c r="K38" s="16"/>
    </row>
    <row r="39" spans="1:11" ht="12.75" customHeight="1">
      <c r="A39" s="25" t="s">
        <v>369</v>
      </c>
      <c r="B39" s="26" t="s">
        <v>370</v>
      </c>
      <c r="C39" s="4" t="s">
        <v>349</v>
      </c>
      <c r="D39" s="1">
        <v>10260</v>
      </c>
      <c r="E39" s="1"/>
      <c r="F39" s="1">
        <v>1080</v>
      </c>
      <c r="G39" s="1"/>
      <c r="H39" s="49">
        <f t="shared" si="0"/>
        <v>950</v>
      </c>
      <c r="I39" s="117">
        <f>0.26*1.08*1.06</f>
        <v>0.2976480000000001</v>
      </c>
      <c r="J39" s="111">
        <f t="shared" si="1"/>
        <v>0.3125304000000001</v>
      </c>
      <c r="K39" s="16"/>
    </row>
    <row r="40" spans="1:11" ht="12.75">
      <c r="A40" s="25" t="s">
        <v>371</v>
      </c>
      <c r="B40" s="26" t="s">
        <v>54</v>
      </c>
      <c r="C40" s="4" t="s">
        <v>349</v>
      </c>
      <c r="D40" s="1">
        <v>13680</v>
      </c>
      <c r="E40" s="1"/>
      <c r="F40" s="1">
        <v>5200</v>
      </c>
      <c r="G40" s="1"/>
      <c r="H40" s="49">
        <f t="shared" si="0"/>
        <v>263.0769230769231</v>
      </c>
      <c r="I40" s="117">
        <f>1.26*1.08*1.06</f>
        <v>1.4424480000000002</v>
      </c>
      <c r="J40" s="111">
        <f t="shared" si="1"/>
        <v>1.5145704000000002</v>
      </c>
      <c r="K40" s="16"/>
    </row>
    <row r="41" spans="1:11" ht="10.5" customHeight="1">
      <c r="A41" s="25" t="s">
        <v>372</v>
      </c>
      <c r="B41" s="29" t="s">
        <v>373</v>
      </c>
      <c r="C41" s="4" t="s">
        <v>349</v>
      </c>
      <c r="D41" s="1">
        <v>6840</v>
      </c>
      <c r="E41" s="1"/>
      <c r="F41" s="1">
        <v>900</v>
      </c>
      <c r="G41" s="1"/>
      <c r="H41" s="49">
        <f t="shared" si="0"/>
        <v>760</v>
      </c>
      <c r="I41" s="117">
        <f>0.22*1.08*1.06</f>
        <v>0.251856</v>
      </c>
      <c r="J41" s="111">
        <f t="shared" si="1"/>
        <v>0.26444880000000004</v>
      </c>
      <c r="K41" s="16"/>
    </row>
    <row r="42" spans="1:11" ht="12.75">
      <c r="A42" s="25" t="s">
        <v>374</v>
      </c>
      <c r="B42" s="29" t="s">
        <v>177</v>
      </c>
      <c r="C42" s="4" t="s">
        <v>349</v>
      </c>
      <c r="D42" s="1">
        <v>6840</v>
      </c>
      <c r="E42" s="1"/>
      <c r="F42" s="1">
        <v>1140</v>
      </c>
      <c r="G42" s="1"/>
      <c r="H42" s="49">
        <f t="shared" si="0"/>
        <v>600</v>
      </c>
      <c r="I42" s="117">
        <f>0.28*1.08*1.06</f>
        <v>0.32054400000000005</v>
      </c>
      <c r="J42" s="111">
        <f t="shared" si="1"/>
        <v>0.33657120000000007</v>
      </c>
      <c r="K42" s="16"/>
    </row>
    <row r="43" spans="1:11" ht="12.75">
      <c r="A43" s="25" t="s">
        <v>375</v>
      </c>
      <c r="B43" s="29" t="s">
        <v>376</v>
      </c>
      <c r="C43" s="4" t="s">
        <v>349</v>
      </c>
      <c r="D43" s="1">
        <v>8210</v>
      </c>
      <c r="E43" s="1"/>
      <c r="F43" s="1">
        <v>1370</v>
      </c>
      <c r="G43" s="1"/>
      <c r="H43" s="49">
        <f t="shared" si="0"/>
        <v>599.2700729927006</v>
      </c>
      <c r="I43" s="117">
        <f>0.33*1.08*1.06</f>
        <v>0.37778400000000006</v>
      </c>
      <c r="J43" s="111">
        <f t="shared" si="1"/>
        <v>0.39667320000000006</v>
      </c>
      <c r="K43" s="16"/>
    </row>
    <row r="44" spans="1:11" ht="12.75">
      <c r="A44" s="25" t="s">
        <v>377</v>
      </c>
      <c r="B44" s="29" t="s">
        <v>378</v>
      </c>
      <c r="C44" s="4" t="s">
        <v>349</v>
      </c>
      <c r="D44" s="1">
        <v>17100</v>
      </c>
      <c r="E44" s="1"/>
      <c r="F44" s="1">
        <v>2850</v>
      </c>
      <c r="G44" s="1"/>
      <c r="H44" s="49">
        <f t="shared" si="0"/>
        <v>600</v>
      </c>
      <c r="I44" s="117">
        <f>0.69*1.08*1.06</f>
        <v>0.7899120000000001</v>
      </c>
      <c r="J44" s="111">
        <f t="shared" si="1"/>
        <v>0.8294076000000001</v>
      </c>
      <c r="K44" s="16"/>
    </row>
    <row r="45" spans="1:11" ht="12.75">
      <c r="A45" s="25" t="s">
        <v>379</v>
      </c>
      <c r="B45" s="29" t="s">
        <v>380</v>
      </c>
      <c r="C45" s="4" t="s">
        <v>349</v>
      </c>
      <c r="D45" s="1">
        <v>6840</v>
      </c>
      <c r="E45" s="1"/>
      <c r="F45" s="1">
        <v>2990</v>
      </c>
      <c r="G45" s="1"/>
      <c r="H45" s="49">
        <f t="shared" si="0"/>
        <v>228.76254180602004</v>
      </c>
      <c r="I45" s="117">
        <f>0.72*1.08*1.06</f>
        <v>0.8242560000000001</v>
      </c>
      <c r="J45" s="111">
        <f t="shared" si="1"/>
        <v>0.8654688000000001</v>
      </c>
      <c r="K45" s="16"/>
    </row>
    <row r="46" spans="1:11" ht="13.5" customHeight="1">
      <c r="A46" s="25" t="s">
        <v>381</v>
      </c>
      <c r="B46" s="30" t="s">
        <v>382</v>
      </c>
      <c r="C46" s="4" t="s">
        <v>349</v>
      </c>
      <c r="D46" s="1">
        <v>2740</v>
      </c>
      <c r="E46" s="1"/>
      <c r="F46" s="1">
        <v>710</v>
      </c>
      <c r="G46" s="1"/>
      <c r="H46" s="49">
        <f t="shared" si="0"/>
        <v>385.9154929577465</v>
      </c>
      <c r="I46" s="117">
        <f>0.17*1.08*1.06</f>
        <v>0.194616</v>
      </c>
      <c r="J46" s="111">
        <f aca="true" t="shared" si="2" ref="J46:J77">I46*1.05</f>
        <v>0.20434680000000002</v>
      </c>
      <c r="K46" s="16"/>
    </row>
    <row r="47" spans="1:11" ht="12.75" customHeight="1">
      <c r="A47" s="25" t="s">
        <v>383</v>
      </c>
      <c r="B47" s="30" t="s">
        <v>384</v>
      </c>
      <c r="C47" s="4" t="s">
        <v>349</v>
      </c>
      <c r="D47" s="1">
        <v>4100</v>
      </c>
      <c r="E47" s="1"/>
      <c r="F47" s="1">
        <v>960</v>
      </c>
      <c r="G47" s="1"/>
      <c r="H47" s="49">
        <f t="shared" si="0"/>
        <v>427.0833333333333</v>
      </c>
      <c r="I47" s="117">
        <f>0.23*1.08*1.06</f>
        <v>0.26330400000000004</v>
      </c>
      <c r="J47" s="111">
        <f t="shared" si="2"/>
        <v>0.2764692</v>
      </c>
      <c r="K47" s="16"/>
    </row>
    <row r="48" spans="1:11" ht="13.5" customHeight="1">
      <c r="A48" s="25" t="s">
        <v>385</v>
      </c>
      <c r="B48" s="30" t="s">
        <v>386</v>
      </c>
      <c r="C48" s="4" t="s">
        <v>349</v>
      </c>
      <c r="D48" s="1">
        <v>13680</v>
      </c>
      <c r="E48" s="1"/>
      <c r="F48" s="1">
        <v>3120</v>
      </c>
      <c r="G48" s="1"/>
      <c r="H48" s="49">
        <f t="shared" si="0"/>
        <v>438.4615384615385</v>
      </c>
      <c r="I48" s="117">
        <f>0.76*1.08*1.06</f>
        <v>0.8700480000000002</v>
      </c>
      <c r="J48" s="111">
        <f t="shared" si="2"/>
        <v>0.9135504000000002</v>
      </c>
      <c r="K48" s="16"/>
    </row>
    <row r="49" spans="1:11" ht="12" customHeight="1">
      <c r="A49" s="22" t="s">
        <v>272</v>
      </c>
      <c r="B49" s="26" t="s">
        <v>387</v>
      </c>
      <c r="C49" s="4" t="s">
        <v>349</v>
      </c>
      <c r="D49" s="1">
        <v>6840</v>
      </c>
      <c r="E49" s="1"/>
      <c r="F49" s="1">
        <v>2760</v>
      </c>
      <c r="G49" s="1"/>
      <c r="H49" s="49">
        <f t="shared" si="0"/>
        <v>247.82608695652172</v>
      </c>
      <c r="I49" s="117">
        <f>0.67*1.08*1.06</f>
        <v>0.7670160000000001</v>
      </c>
      <c r="J49" s="111">
        <f t="shared" si="2"/>
        <v>0.8053668000000002</v>
      </c>
      <c r="K49" s="16"/>
    </row>
    <row r="50" spans="1:11" ht="12.75" customHeight="1">
      <c r="A50" s="31" t="s">
        <v>388</v>
      </c>
      <c r="B50" s="32" t="s">
        <v>64</v>
      </c>
      <c r="C50" s="4" t="s">
        <v>349</v>
      </c>
      <c r="D50" s="1">
        <v>5470</v>
      </c>
      <c r="E50" s="1"/>
      <c r="F50" s="1">
        <v>1650</v>
      </c>
      <c r="G50" s="1"/>
      <c r="H50" s="49">
        <f t="shared" si="0"/>
        <v>331.5151515151515</v>
      </c>
      <c r="I50" s="117">
        <f>0.4*1.08*1.06</f>
        <v>0.45792000000000005</v>
      </c>
      <c r="J50" s="111">
        <f t="shared" si="2"/>
        <v>0.4808160000000001</v>
      </c>
      <c r="K50" s="16"/>
    </row>
    <row r="51" spans="1:11" ht="12.75" customHeight="1">
      <c r="A51" s="31" t="s">
        <v>389</v>
      </c>
      <c r="B51" s="32" t="s">
        <v>66</v>
      </c>
      <c r="C51" s="4" t="s">
        <v>349</v>
      </c>
      <c r="D51" s="1">
        <v>8210</v>
      </c>
      <c r="E51" s="1"/>
      <c r="F51" s="1">
        <v>2500</v>
      </c>
      <c r="G51" s="1"/>
      <c r="H51" s="49">
        <f t="shared" si="0"/>
        <v>328.4</v>
      </c>
      <c r="I51" s="117">
        <f>0.61*1.08*1.06</f>
        <v>0.6983280000000001</v>
      </c>
      <c r="J51" s="111">
        <f t="shared" si="2"/>
        <v>0.7332444000000001</v>
      </c>
      <c r="K51" s="16"/>
    </row>
    <row r="52" spans="1:11" ht="12" customHeight="1">
      <c r="A52" s="31" t="s">
        <v>390</v>
      </c>
      <c r="B52" s="32" t="s">
        <v>68</v>
      </c>
      <c r="C52" s="4" t="s">
        <v>349</v>
      </c>
      <c r="D52" s="1">
        <v>12310</v>
      </c>
      <c r="E52" s="1"/>
      <c r="F52" s="1">
        <v>3900</v>
      </c>
      <c r="G52" s="1"/>
      <c r="H52" s="49">
        <f t="shared" si="0"/>
        <v>315.64102564102564</v>
      </c>
      <c r="I52" s="117">
        <f>0.94*1.08*1.06</f>
        <v>1.0761120000000002</v>
      </c>
      <c r="J52" s="111">
        <f t="shared" si="2"/>
        <v>1.1299176000000002</v>
      </c>
      <c r="K52" s="16"/>
    </row>
    <row r="53" spans="1:11" ht="14.25" customHeight="1">
      <c r="A53" s="31" t="s">
        <v>391</v>
      </c>
      <c r="B53" s="32" t="s">
        <v>70</v>
      </c>
      <c r="C53" s="4" t="s">
        <v>349</v>
      </c>
      <c r="D53" s="1">
        <v>15730</v>
      </c>
      <c r="E53" s="1"/>
      <c r="F53" s="1">
        <v>4800</v>
      </c>
      <c r="G53" s="1"/>
      <c r="H53" s="49">
        <f t="shared" si="0"/>
        <v>327.7083333333333</v>
      </c>
      <c r="I53" s="117">
        <f>1.16*1.08*1.06</f>
        <v>1.327968</v>
      </c>
      <c r="J53" s="111">
        <f t="shared" si="2"/>
        <v>1.3943664</v>
      </c>
      <c r="K53" s="16"/>
    </row>
    <row r="54" spans="1:11" ht="12.75" customHeight="1">
      <c r="A54" s="31" t="s">
        <v>63</v>
      </c>
      <c r="B54" s="32" t="s">
        <v>72</v>
      </c>
      <c r="C54" s="4" t="s">
        <v>349</v>
      </c>
      <c r="D54" s="1">
        <v>5470</v>
      </c>
      <c r="E54" s="1"/>
      <c r="F54" s="1">
        <v>650</v>
      </c>
      <c r="G54" s="1"/>
      <c r="H54" s="49">
        <f t="shared" si="0"/>
        <v>841.5384615384615</v>
      </c>
      <c r="I54" s="117">
        <f>0.16*1.08*1.06</f>
        <v>0.18316800000000003</v>
      </c>
      <c r="J54" s="111">
        <f t="shared" si="2"/>
        <v>0.19232640000000004</v>
      </c>
      <c r="K54" s="16"/>
    </row>
    <row r="55" spans="1:11" ht="13.5" customHeight="1">
      <c r="A55" s="31" t="s">
        <v>65</v>
      </c>
      <c r="B55" s="32" t="s">
        <v>392</v>
      </c>
      <c r="C55" s="4" t="s">
        <v>349</v>
      </c>
      <c r="D55" s="1">
        <v>6840</v>
      </c>
      <c r="E55" s="1"/>
      <c r="F55" s="1">
        <v>1150</v>
      </c>
      <c r="G55" s="1"/>
      <c r="H55" s="49">
        <f t="shared" si="0"/>
        <v>594.7826086956522</v>
      </c>
      <c r="I55" s="117">
        <f>0.28*1.08*1.06</f>
        <v>0.32054400000000005</v>
      </c>
      <c r="J55" s="111">
        <f t="shared" si="2"/>
        <v>0.33657120000000007</v>
      </c>
      <c r="K55" s="16"/>
    </row>
    <row r="56" spans="1:11" ht="13.5" customHeight="1">
      <c r="A56" s="31" t="s">
        <v>67</v>
      </c>
      <c r="B56" s="32" t="s">
        <v>393</v>
      </c>
      <c r="C56" s="4" t="s">
        <v>349</v>
      </c>
      <c r="D56" s="1">
        <v>5470</v>
      </c>
      <c r="E56" s="1"/>
      <c r="F56" s="1">
        <v>1250</v>
      </c>
      <c r="G56" s="1"/>
      <c r="H56" s="49">
        <f t="shared" si="0"/>
        <v>437.6</v>
      </c>
      <c r="I56" s="117">
        <f>0.31*1.08*1.06</f>
        <v>0.35488800000000004</v>
      </c>
      <c r="J56" s="111">
        <f t="shared" si="2"/>
        <v>0.37263240000000003</v>
      </c>
      <c r="K56" s="16"/>
    </row>
    <row r="57" spans="1:11" ht="13.5" customHeight="1">
      <c r="A57" s="31" t="s">
        <v>69</v>
      </c>
      <c r="B57" s="32" t="s">
        <v>394</v>
      </c>
      <c r="C57" s="4" t="s">
        <v>349</v>
      </c>
      <c r="D57" s="1">
        <v>5470</v>
      </c>
      <c r="E57" s="1"/>
      <c r="F57" s="1">
        <v>1200</v>
      </c>
      <c r="G57" s="1"/>
      <c r="H57" s="49">
        <f t="shared" si="0"/>
        <v>455.83333333333337</v>
      </c>
      <c r="I57" s="117">
        <f>0.29*1.08*1.06</f>
        <v>0.331992</v>
      </c>
      <c r="J57" s="111">
        <f t="shared" si="2"/>
        <v>0.3485916</v>
      </c>
      <c r="K57" s="16"/>
    </row>
    <row r="58" spans="1:11" ht="11.25" customHeight="1">
      <c r="A58" s="31" t="s">
        <v>395</v>
      </c>
      <c r="B58" s="32" t="s">
        <v>396</v>
      </c>
      <c r="C58" s="4" t="s">
        <v>349</v>
      </c>
      <c r="D58" s="1">
        <v>5470</v>
      </c>
      <c r="E58" s="1"/>
      <c r="F58" s="1">
        <v>1200</v>
      </c>
      <c r="G58" s="1"/>
      <c r="H58" s="49">
        <f t="shared" si="0"/>
        <v>455.83333333333337</v>
      </c>
      <c r="I58" s="117">
        <f>0.29*1.08*1.06</f>
        <v>0.331992</v>
      </c>
      <c r="J58" s="111">
        <f t="shared" si="2"/>
        <v>0.3485916</v>
      </c>
      <c r="K58" s="16"/>
    </row>
    <row r="59" spans="1:11" ht="13.5" customHeight="1">
      <c r="A59" s="31" t="s">
        <v>397</v>
      </c>
      <c r="B59" s="32" t="s">
        <v>74</v>
      </c>
      <c r="C59" s="4" t="s">
        <v>349</v>
      </c>
      <c r="D59" s="1">
        <v>8210</v>
      </c>
      <c r="E59" s="1"/>
      <c r="F59" s="1">
        <v>2500</v>
      </c>
      <c r="G59" s="1"/>
      <c r="H59" s="49">
        <f t="shared" si="0"/>
        <v>328.4</v>
      </c>
      <c r="I59" s="117">
        <f>0.61*1.08*1.06</f>
        <v>0.6983280000000001</v>
      </c>
      <c r="J59" s="111">
        <f t="shared" si="2"/>
        <v>0.7332444000000001</v>
      </c>
      <c r="K59" s="16"/>
    </row>
    <row r="60" spans="1:11" ht="13.5" customHeight="1">
      <c r="A60" s="31" t="s">
        <v>398</v>
      </c>
      <c r="B60" s="32" t="s">
        <v>76</v>
      </c>
      <c r="C60" s="4" t="s">
        <v>349</v>
      </c>
      <c r="D60" s="1">
        <v>12310</v>
      </c>
      <c r="E60" s="1"/>
      <c r="F60" s="1">
        <v>4450</v>
      </c>
      <c r="G60" s="1"/>
      <c r="H60" s="49">
        <f t="shared" si="0"/>
        <v>276.6292134831461</v>
      </c>
      <c r="I60" s="117">
        <f>1.08*1.08*1.06</f>
        <v>1.2363840000000001</v>
      </c>
      <c r="J60" s="111">
        <f t="shared" si="2"/>
        <v>1.2982032000000001</v>
      </c>
      <c r="K60" s="16"/>
    </row>
    <row r="61" spans="1:11" ht="12" customHeight="1">
      <c r="A61" s="31" t="s">
        <v>399</v>
      </c>
      <c r="B61" s="32" t="s">
        <v>78</v>
      </c>
      <c r="C61" s="4" t="s">
        <v>349</v>
      </c>
      <c r="D61" s="1">
        <v>2740</v>
      </c>
      <c r="E61" s="1"/>
      <c r="F61" s="1">
        <v>700</v>
      </c>
      <c r="G61" s="1"/>
      <c r="H61" s="49">
        <f t="shared" si="0"/>
        <v>391.4285714285714</v>
      </c>
      <c r="I61" s="117">
        <f>0.17*1.08*1.06</f>
        <v>0.194616</v>
      </c>
      <c r="J61" s="111">
        <f t="shared" si="2"/>
        <v>0.20434680000000002</v>
      </c>
      <c r="K61" s="16"/>
    </row>
    <row r="62" spans="1:11" ht="12" customHeight="1">
      <c r="A62" s="31" t="s">
        <v>400</v>
      </c>
      <c r="B62" s="32" t="s">
        <v>80</v>
      </c>
      <c r="C62" s="4" t="s">
        <v>349</v>
      </c>
      <c r="D62" s="1">
        <v>6840</v>
      </c>
      <c r="E62" s="1"/>
      <c r="F62" s="1">
        <v>1950</v>
      </c>
      <c r="G62" s="1"/>
      <c r="H62" s="49">
        <f t="shared" si="0"/>
        <v>350.7692307692308</v>
      </c>
      <c r="I62" s="117">
        <f>0.48*1.08*1.06</f>
        <v>0.549504</v>
      </c>
      <c r="J62" s="111">
        <f t="shared" si="2"/>
        <v>0.5769792</v>
      </c>
      <c r="K62" s="16"/>
    </row>
    <row r="63" spans="1:11" ht="14.25" customHeight="1">
      <c r="A63" s="31" t="s">
        <v>401</v>
      </c>
      <c r="B63" s="32" t="s">
        <v>82</v>
      </c>
      <c r="C63" s="4" t="s">
        <v>349</v>
      </c>
      <c r="D63" s="1">
        <v>15050</v>
      </c>
      <c r="E63" s="1"/>
      <c r="F63" s="1">
        <v>4200</v>
      </c>
      <c r="G63" s="1"/>
      <c r="H63" s="49">
        <f t="shared" si="0"/>
        <v>358.33333333333337</v>
      </c>
      <c r="I63" s="117">
        <f>1.02*1.08*1.06</f>
        <v>1.1676960000000003</v>
      </c>
      <c r="J63" s="111">
        <f t="shared" si="2"/>
        <v>1.2260808000000003</v>
      </c>
      <c r="K63" s="16"/>
    </row>
    <row r="64" spans="1:11" ht="12.75" customHeight="1">
      <c r="A64" s="31" t="s">
        <v>402</v>
      </c>
      <c r="B64" s="32" t="s">
        <v>84</v>
      </c>
      <c r="C64" s="4" t="s">
        <v>349</v>
      </c>
      <c r="D64" s="1">
        <v>2050</v>
      </c>
      <c r="E64" s="1"/>
      <c r="F64" s="1">
        <v>750</v>
      </c>
      <c r="G64" s="1"/>
      <c r="H64" s="49">
        <f t="shared" si="0"/>
        <v>273.3333333333333</v>
      </c>
      <c r="I64" s="117">
        <f>0.18*1.08*1.06</f>
        <v>0.20606400000000002</v>
      </c>
      <c r="J64" s="111">
        <f t="shared" si="2"/>
        <v>0.21636720000000004</v>
      </c>
      <c r="K64" s="16"/>
    </row>
    <row r="65" spans="1:11" ht="12" customHeight="1">
      <c r="A65" s="31" t="s">
        <v>403</v>
      </c>
      <c r="B65" s="32" t="s">
        <v>86</v>
      </c>
      <c r="C65" s="4" t="s">
        <v>349</v>
      </c>
      <c r="D65" s="1">
        <v>3420</v>
      </c>
      <c r="E65" s="1"/>
      <c r="F65" s="1">
        <v>750</v>
      </c>
      <c r="G65" s="1"/>
      <c r="H65" s="49">
        <f t="shared" si="0"/>
        <v>455.99999999999994</v>
      </c>
      <c r="I65" s="117">
        <f>0.18*1.08*1.06</f>
        <v>0.20606400000000002</v>
      </c>
      <c r="J65" s="111">
        <f t="shared" si="2"/>
        <v>0.21636720000000004</v>
      </c>
      <c r="K65" s="16"/>
    </row>
    <row r="66" spans="1:11" ht="14.25" customHeight="1">
      <c r="A66" s="31" t="s">
        <v>404</v>
      </c>
      <c r="B66" s="32" t="s">
        <v>88</v>
      </c>
      <c r="C66" s="4" t="s">
        <v>349</v>
      </c>
      <c r="D66" s="1">
        <v>3420</v>
      </c>
      <c r="E66" s="1"/>
      <c r="F66" s="1">
        <v>1050</v>
      </c>
      <c r="G66" s="1"/>
      <c r="H66" s="49">
        <f t="shared" si="0"/>
        <v>325.7142857142857</v>
      </c>
      <c r="I66" s="117">
        <f>0.26*1.08*1.06</f>
        <v>0.2976480000000001</v>
      </c>
      <c r="J66" s="111">
        <f t="shared" si="2"/>
        <v>0.3125304000000001</v>
      </c>
      <c r="K66" s="16"/>
    </row>
    <row r="67" spans="1:11" ht="26.25" customHeight="1">
      <c r="A67" s="31" t="s">
        <v>405</v>
      </c>
      <c r="B67" s="32" t="s">
        <v>90</v>
      </c>
      <c r="C67" s="4" t="s">
        <v>349</v>
      </c>
      <c r="D67" s="1">
        <v>13680</v>
      </c>
      <c r="E67" s="1"/>
      <c r="F67" s="1">
        <v>4100</v>
      </c>
      <c r="G67" s="1"/>
      <c r="H67" s="49">
        <f t="shared" si="0"/>
        <v>333.6585365853658</v>
      </c>
      <c r="I67" s="117">
        <f>0.99*1.08*1.06</f>
        <v>1.1333520000000001</v>
      </c>
      <c r="J67" s="111">
        <f t="shared" si="2"/>
        <v>1.1900196000000003</v>
      </c>
      <c r="K67" s="16"/>
    </row>
    <row r="68" spans="1:11" ht="26.25" customHeight="1">
      <c r="A68" s="31" t="s">
        <v>406</v>
      </c>
      <c r="B68" s="32" t="s">
        <v>407</v>
      </c>
      <c r="C68" s="4" t="s">
        <v>349</v>
      </c>
      <c r="D68" s="1">
        <v>20520</v>
      </c>
      <c r="E68" s="1"/>
      <c r="F68" s="1">
        <v>7000</v>
      </c>
      <c r="G68" s="1"/>
      <c r="H68" s="49">
        <f t="shared" si="0"/>
        <v>293.14285714285717</v>
      </c>
      <c r="I68" s="117">
        <f>1.69*1.08*1.06</f>
        <v>1.9347120000000002</v>
      </c>
      <c r="J68" s="111">
        <f t="shared" si="2"/>
        <v>2.0314476000000004</v>
      </c>
      <c r="K68" s="16"/>
    </row>
    <row r="69" spans="1:11" ht="27.75" customHeight="1">
      <c r="A69" s="31" t="s">
        <v>408</v>
      </c>
      <c r="B69" s="32" t="s">
        <v>409</v>
      </c>
      <c r="C69" s="4" t="s">
        <v>349</v>
      </c>
      <c r="D69" s="1">
        <v>17100</v>
      </c>
      <c r="E69" s="1"/>
      <c r="F69" s="1">
        <v>4470</v>
      </c>
      <c r="G69" s="1"/>
      <c r="H69" s="49">
        <f t="shared" si="0"/>
        <v>382.5503355704698</v>
      </c>
      <c r="I69" s="117">
        <f>1.08*1.08*1.06</f>
        <v>1.2363840000000001</v>
      </c>
      <c r="J69" s="111">
        <f t="shared" si="2"/>
        <v>1.2982032000000001</v>
      </c>
      <c r="K69" s="16"/>
    </row>
    <row r="70" spans="1:11" ht="27" customHeight="1">
      <c r="A70" s="31" t="s">
        <v>410</v>
      </c>
      <c r="B70" s="32" t="s">
        <v>411</v>
      </c>
      <c r="C70" s="4" t="s">
        <v>349</v>
      </c>
      <c r="D70" s="1">
        <v>23940</v>
      </c>
      <c r="E70" s="1"/>
      <c r="F70" s="1">
        <v>7600</v>
      </c>
      <c r="G70" s="1"/>
      <c r="H70" s="49">
        <f t="shared" si="0"/>
        <v>315</v>
      </c>
      <c r="I70" s="117">
        <f>1.84*1.08*1.06</f>
        <v>2.1064320000000003</v>
      </c>
      <c r="J70" s="111">
        <f t="shared" si="2"/>
        <v>2.2117536</v>
      </c>
      <c r="K70" s="16"/>
    </row>
    <row r="71" spans="1:11" ht="12" customHeight="1">
      <c r="A71" s="33" t="s">
        <v>412</v>
      </c>
      <c r="B71" s="32" t="s">
        <v>92</v>
      </c>
      <c r="C71" s="4" t="s">
        <v>349</v>
      </c>
      <c r="D71" s="1">
        <v>3420</v>
      </c>
      <c r="E71" s="1"/>
      <c r="F71" s="1">
        <v>700</v>
      </c>
      <c r="G71" s="1"/>
      <c r="H71" s="49">
        <f t="shared" si="0"/>
        <v>488.5714285714286</v>
      </c>
      <c r="I71" s="117">
        <f>0.17*1.08*1.06</f>
        <v>0.194616</v>
      </c>
      <c r="J71" s="111">
        <f t="shared" si="2"/>
        <v>0.20434680000000002</v>
      </c>
      <c r="K71" s="16"/>
    </row>
    <row r="72" spans="1:11" ht="24.75" customHeight="1">
      <c r="A72" s="31" t="s">
        <v>413</v>
      </c>
      <c r="B72" s="32" t="s">
        <v>414</v>
      </c>
      <c r="C72" s="4" t="s">
        <v>349</v>
      </c>
      <c r="D72" s="1">
        <v>5470</v>
      </c>
      <c r="E72" s="1"/>
      <c r="F72" s="1">
        <v>1950</v>
      </c>
      <c r="G72" s="1"/>
      <c r="H72" s="49">
        <f t="shared" si="0"/>
        <v>280.5128205128205</v>
      </c>
      <c r="I72" s="117">
        <f>0.48*1.08*1.06</f>
        <v>0.549504</v>
      </c>
      <c r="J72" s="111">
        <f t="shared" si="2"/>
        <v>0.5769792</v>
      </c>
      <c r="K72" s="16"/>
    </row>
    <row r="73" spans="1:11" ht="13.5" customHeight="1">
      <c r="A73" s="31" t="s">
        <v>415</v>
      </c>
      <c r="B73" s="32" t="s">
        <v>416</v>
      </c>
      <c r="C73" s="4" t="s">
        <v>349</v>
      </c>
      <c r="D73" s="1">
        <v>5470</v>
      </c>
      <c r="E73" s="1"/>
      <c r="F73" s="1">
        <v>700</v>
      </c>
      <c r="G73" s="1"/>
      <c r="H73" s="49">
        <f t="shared" si="0"/>
        <v>781.4285714285714</v>
      </c>
      <c r="I73" s="117">
        <f>0.17*1.08*1.06</f>
        <v>0.194616</v>
      </c>
      <c r="J73" s="111">
        <f t="shared" si="2"/>
        <v>0.20434680000000002</v>
      </c>
      <c r="K73" s="16"/>
    </row>
    <row r="74" spans="1:11" ht="13.5" customHeight="1">
      <c r="A74" s="31" t="s">
        <v>417</v>
      </c>
      <c r="B74" s="32" t="s">
        <v>418</v>
      </c>
      <c r="C74" s="4" t="s">
        <v>349</v>
      </c>
      <c r="D74" s="1">
        <v>17100</v>
      </c>
      <c r="E74" s="1"/>
      <c r="F74" s="1">
        <v>4800</v>
      </c>
      <c r="G74" s="1"/>
      <c r="H74" s="49">
        <f t="shared" si="0"/>
        <v>356.25</v>
      </c>
      <c r="I74" s="117">
        <f>1.16*1.08*1.06</f>
        <v>1.327968</v>
      </c>
      <c r="J74" s="111">
        <f t="shared" si="2"/>
        <v>1.3943664</v>
      </c>
      <c r="K74" s="16"/>
    </row>
    <row r="75" spans="1:11" ht="12.75">
      <c r="A75" s="33" t="s">
        <v>419</v>
      </c>
      <c r="B75" s="32" t="s">
        <v>94</v>
      </c>
      <c r="C75" s="4" t="s">
        <v>349</v>
      </c>
      <c r="D75" s="1">
        <v>20520</v>
      </c>
      <c r="E75" s="1"/>
      <c r="F75" s="1">
        <v>7000</v>
      </c>
      <c r="G75" s="1"/>
      <c r="H75" s="49">
        <f t="shared" si="0"/>
        <v>293.14285714285717</v>
      </c>
      <c r="I75" s="117">
        <f>1.69*1.08*1.06</f>
        <v>1.9347120000000002</v>
      </c>
      <c r="J75" s="111">
        <f t="shared" si="2"/>
        <v>2.0314476000000004</v>
      </c>
      <c r="K75" s="16"/>
    </row>
    <row r="76" spans="1:11" ht="12.75" customHeight="1">
      <c r="A76" s="31" t="s">
        <v>420</v>
      </c>
      <c r="B76" s="32" t="s">
        <v>96</v>
      </c>
      <c r="C76" s="4" t="s">
        <v>349</v>
      </c>
      <c r="D76" s="1">
        <v>10260</v>
      </c>
      <c r="E76" s="1"/>
      <c r="F76" s="1">
        <v>1700</v>
      </c>
      <c r="G76" s="1"/>
      <c r="H76" s="49">
        <f t="shared" si="0"/>
        <v>603.5294117647059</v>
      </c>
      <c r="I76" s="117">
        <f>0.41*1.08*1.06</f>
        <v>0.46936800000000006</v>
      </c>
      <c r="J76" s="111">
        <f t="shared" si="2"/>
        <v>0.49283640000000006</v>
      </c>
      <c r="K76" s="16"/>
    </row>
    <row r="77" spans="1:11" ht="12" customHeight="1">
      <c r="A77" s="31" t="s">
        <v>421</v>
      </c>
      <c r="B77" s="32" t="s">
        <v>422</v>
      </c>
      <c r="C77" s="35" t="s">
        <v>349</v>
      </c>
      <c r="D77" s="1">
        <v>12310</v>
      </c>
      <c r="E77" s="1"/>
      <c r="F77" s="1">
        <v>3350</v>
      </c>
      <c r="G77" s="1"/>
      <c r="H77" s="49">
        <f t="shared" si="0"/>
        <v>367.4626865671642</v>
      </c>
      <c r="I77" s="117">
        <f>0.81*1.08*1.06</f>
        <v>0.9272880000000002</v>
      </c>
      <c r="J77" s="111">
        <f t="shared" si="2"/>
        <v>0.9736524000000003</v>
      </c>
      <c r="K77" s="16"/>
    </row>
    <row r="78" spans="1:11" ht="12.75" customHeight="1">
      <c r="A78" s="34" t="s">
        <v>423</v>
      </c>
      <c r="B78" s="43" t="s">
        <v>100</v>
      </c>
      <c r="C78" s="174" t="s">
        <v>349</v>
      </c>
      <c r="D78" s="187">
        <v>10260</v>
      </c>
      <c r="E78" s="171"/>
      <c r="F78" s="171">
        <v>1850</v>
      </c>
      <c r="G78" s="171"/>
      <c r="H78" s="177">
        <f aca="true" t="shared" si="3" ref="H78:H144">D78/F78*100</f>
        <v>554.5945945945946</v>
      </c>
      <c r="I78" s="165">
        <f>0.45*1.08*1.06</f>
        <v>0.5151600000000001</v>
      </c>
      <c r="J78" s="162">
        <f>I78*1.05</f>
        <v>0.5409180000000001</v>
      </c>
      <c r="K78" s="168"/>
    </row>
    <row r="79" spans="1:11" ht="11.25" customHeight="1">
      <c r="A79" s="36"/>
      <c r="B79" s="44" t="s">
        <v>101</v>
      </c>
      <c r="C79" s="175"/>
      <c r="D79" s="188"/>
      <c r="E79" s="172"/>
      <c r="F79" s="172"/>
      <c r="G79" s="172"/>
      <c r="H79" s="178"/>
      <c r="I79" s="166"/>
      <c r="J79" s="163"/>
      <c r="K79" s="169"/>
    </row>
    <row r="80" spans="1:11" ht="11.25" customHeight="1">
      <c r="A80" s="36"/>
      <c r="B80" s="44" t="s">
        <v>102</v>
      </c>
      <c r="C80" s="175"/>
      <c r="D80" s="188"/>
      <c r="E80" s="172"/>
      <c r="F80" s="172"/>
      <c r="G80" s="172"/>
      <c r="H80" s="178"/>
      <c r="I80" s="166"/>
      <c r="J80" s="163"/>
      <c r="K80" s="169"/>
    </row>
    <row r="81" spans="1:11" ht="11.25" customHeight="1">
      <c r="A81" s="36"/>
      <c r="B81" s="44" t="s">
        <v>103</v>
      </c>
      <c r="C81" s="176"/>
      <c r="D81" s="182"/>
      <c r="E81" s="173"/>
      <c r="F81" s="173"/>
      <c r="G81" s="173"/>
      <c r="H81" s="179"/>
      <c r="I81" s="167"/>
      <c r="J81" s="164"/>
      <c r="K81" s="170"/>
    </row>
    <row r="82" spans="1:11" ht="12.75">
      <c r="A82" s="34" t="s">
        <v>424</v>
      </c>
      <c r="B82" s="32" t="s">
        <v>100</v>
      </c>
      <c r="C82" s="174" t="s">
        <v>349</v>
      </c>
      <c r="D82" s="171">
        <v>13680</v>
      </c>
      <c r="E82" s="171"/>
      <c r="F82" s="171">
        <v>2400</v>
      </c>
      <c r="G82" s="171"/>
      <c r="H82" s="177">
        <f t="shared" si="3"/>
        <v>570</v>
      </c>
      <c r="I82" s="165">
        <f>0.58*1.08*1.06</f>
        <v>0.663984</v>
      </c>
      <c r="J82" s="162">
        <f>I82*1.05</f>
        <v>0.6971832</v>
      </c>
      <c r="K82" s="168"/>
    </row>
    <row r="83" spans="1:11" ht="12" customHeight="1">
      <c r="A83" s="36"/>
      <c r="B83" s="37" t="s">
        <v>101</v>
      </c>
      <c r="C83" s="175"/>
      <c r="D83" s="172"/>
      <c r="E83" s="172"/>
      <c r="F83" s="172"/>
      <c r="G83" s="172"/>
      <c r="H83" s="180"/>
      <c r="I83" s="166"/>
      <c r="J83" s="163"/>
      <c r="K83" s="169"/>
    </row>
    <row r="84" spans="1:11" ht="11.25" customHeight="1">
      <c r="A84" s="36"/>
      <c r="B84" s="37" t="s">
        <v>105</v>
      </c>
      <c r="C84" s="175"/>
      <c r="D84" s="172"/>
      <c r="E84" s="172"/>
      <c r="F84" s="172"/>
      <c r="G84" s="172"/>
      <c r="H84" s="180"/>
      <c r="I84" s="166"/>
      <c r="J84" s="163"/>
      <c r="K84" s="169"/>
    </row>
    <row r="85" spans="1:11" ht="12" customHeight="1">
      <c r="A85" s="36"/>
      <c r="B85" s="37" t="s">
        <v>106</v>
      </c>
      <c r="C85" s="176"/>
      <c r="D85" s="173"/>
      <c r="E85" s="173"/>
      <c r="F85" s="173"/>
      <c r="G85" s="173"/>
      <c r="H85" s="181"/>
      <c r="I85" s="167"/>
      <c r="J85" s="164"/>
      <c r="K85" s="170"/>
    </row>
    <row r="86" spans="1:11" ht="12.75">
      <c r="A86" s="34" t="s">
        <v>425</v>
      </c>
      <c r="B86" s="32" t="s">
        <v>100</v>
      </c>
      <c r="C86" s="174" t="s">
        <v>349</v>
      </c>
      <c r="D86" s="171">
        <v>15050</v>
      </c>
      <c r="E86" s="171"/>
      <c r="F86" s="171">
        <v>3550</v>
      </c>
      <c r="G86" s="171"/>
      <c r="H86" s="177">
        <f t="shared" si="3"/>
        <v>423.943661971831</v>
      </c>
      <c r="I86" s="165">
        <f>0.86*1.08*1.06</f>
        <v>0.9845280000000001</v>
      </c>
      <c r="J86" s="162">
        <f>I86*1.05</f>
        <v>1.0337544</v>
      </c>
      <c r="K86" s="168"/>
    </row>
    <row r="87" spans="1:11" ht="12" customHeight="1">
      <c r="A87" s="36"/>
      <c r="B87" s="37" t="s">
        <v>101</v>
      </c>
      <c r="C87" s="175"/>
      <c r="D87" s="172"/>
      <c r="E87" s="172"/>
      <c r="F87" s="172"/>
      <c r="G87" s="172"/>
      <c r="H87" s="178"/>
      <c r="I87" s="166"/>
      <c r="J87" s="163"/>
      <c r="K87" s="169"/>
    </row>
    <row r="88" spans="1:11" ht="12.75" customHeight="1">
      <c r="A88" s="36"/>
      <c r="B88" s="37" t="s">
        <v>105</v>
      </c>
      <c r="C88" s="175"/>
      <c r="D88" s="172"/>
      <c r="E88" s="172"/>
      <c r="F88" s="172"/>
      <c r="G88" s="172"/>
      <c r="H88" s="178"/>
      <c r="I88" s="166"/>
      <c r="J88" s="163"/>
      <c r="K88" s="169"/>
    </row>
    <row r="89" spans="1:11" ht="12" customHeight="1">
      <c r="A89" s="36"/>
      <c r="B89" s="44" t="s">
        <v>108</v>
      </c>
      <c r="C89" s="176"/>
      <c r="D89" s="182"/>
      <c r="E89" s="173"/>
      <c r="F89" s="173"/>
      <c r="G89" s="173"/>
      <c r="H89" s="179"/>
      <c r="I89" s="167"/>
      <c r="J89" s="164"/>
      <c r="K89" s="170"/>
    </row>
    <row r="90" spans="1:11" ht="13.5" customHeight="1">
      <c r="A90" s="34" t="s">
        <v>426</v>
      </c>
      <c r="B90" s="43" t="s">
        <v>100</v>
      </c>
      <c r="C90" s="174" t="s">
        <v>349</v>
      </c>
      <c r="D90" s="187">
        <v>20520</v>
      </c>
      <c r="E90" s="171"/>
      <c r="F90" s="171">
        <v>4300</v>
      </c>
      <c r="G90" s="171"/>
      <c r="H90" s="177">
        <f t="shared" si="3"/>
        <v>477.2093023255814</v>
      </c>
      <c r="I90" s="165">
        <f>1.04*1.08*1.06</f>
        <v>1.1905920000000003</v>
      </c>
      <c r="J90" s="162">
        <f>I90*1.05</f>
        <v>1.2501216000000004</v>
      </c>
      <c r="K90" s="46"/>
    </row>
    <row r="91" spans="1:11" ht="12.75" customHeight="1">
      <c r="A91" s="36"/>
      <c r="B91" s="44" t="s">
        <v>101</v>
      </c>
      <c r="C91" s="175"/>
      <c r="D91" s="188"/>
      <c r="E91" s="172"/>
      <c r="F91" s="172"/>
      <c r="G91" s="172"/>
      <c r="H91" s="178"/>
      <c r="I91" s="166"/>
      <c r="J91" s="163"/>
      <c r="K91" s="48"/>
    </row>
    <row r="92" spans="1:11" ht="11.25" customHeight="1">
      <c r="A92" s="36"/>
      <c r="B92" s="44" t="s">
        <v>105</v>
      </c>
      <c r="C92" s="175"/>
      <c r="D92" s="188"/>
      <c r="E92" s="172"/>
      <c r="F92" s="172"/>
      <c r="G92" s="172"/>
      <c r="H92" s="178"/>
      <c r="I92" s="166"/>
      <c r="J92" s="163"/>
      <c r="K92" s="48"/>
    </row>
    <row r="93" spans="1:11" ht="12" customHeight="1">
      <c r="A93" s="38"/>
      <c r="B93" s="45" t="s">
        <v>110</v>
      </c>
      <c r="C93" s="176"/>
      <c r="D93" s="182"/>
      <c r="E93" s="173"/>
      <c r="F93" s="173"/>
      <c r="G93" s="173"/>
      <c r="H93" s="179"/>
      <c r="I93" s="167"/>
      <c r="J93" s="164"/>
      <c r="K93" s="47"/>
    </row>
    <row r="94" spans="1:11" ht="12.75">
      <c r="A94" s="34" t="s">
        <v>427</v>
      </c>
      <c r="B94" s="32" t="s">
        <v>112</v>
      </c>
      <c r="C94" s="174" t="s">
        <v>349</v>
      </c>
      <c r="D94" s="171">
        <v>13680</v>
      </c>
      <c r="E94" s="171"/>
      <c r="F94" s="171">
        <v>2750</v>
      </c>
      <c r="G94" s="171"/>
      <c r="H94" s="177">
        <f t="shared" si="3"/>
        <v>497.45454545454544</v>
      </c>
      <c r="I94" s="165">
        <f>0.66*1.08*1.06</f>
        <v>0.7555680000000001</v>
      </c>
      <c r="J94" s="162">
        <f>I94*1.05</f>
        <v>0.7933464000000001</v>
      </c>
      <c r="K94" s="168"/>
    </row>
    <row r="95" spans="1:11" ht="12" customHeight="1">
      <c r="A95" s="36"/>
      <c r="B95" s="37" t="s">
        <v>101</v>
      </c>
      <c r="C95" s="175"/>
      <c r="D95" s="172"/>
      <c r="E95" s="172"/>
      <c r="F95" s="172"/>
      <c r="G95" s="172"/>
      <c r="H95" s="178"/>
      <c r="I95" s="166"/>
      <c r="J95" s="163"/>
      <c r="K95" s="169"/>
    </row>
    <row r="96" spans="1:11" ht="10.5" customHeight="1">
      <c r="A96" s="36"/>
      <c r="B96" s="37" t="s">
        <v>102</v>
      </c>
      <c r="C96" s="175"/>
      <c r="D96" s="172"/>
      <c r="E96" s="172"/>
      <c r="F96" s="172"/>
      <c r="G96" s="172"/>
      <c r="H96" s="178"/>
      <c r="I96" s="166"/>
      <c r="J96" s="163"/>
      <c r="K96" s="169"/>
    </row>
    <row r="97" spans="1:11" ht="12.75">
      <c r="A97" s="36"/>
      <c r="B97" s="37" t="s">
        <v>103</v>
      </c>
      <c r="C97" s="176"/>
      <c r="D97" s="173"/>
      <c r="E97" s="173"/>
      <c r="F97" s="173"/>
      <c r="G97" s="173"/>
      <c r="H97" s="179"/>
      <c r="I97" s="167"/>
      <c r="J97" s="164"/>
      <c r="K97" s="170"/>
    </row>
    <row r="98" spans="1:11" ht="12.75">
      <c r="A98" s="34" t="s">
        <v>428</v>
      </c>
      <c r="B98" s="32" t="s">
        <v>112</v>
      </c>
      <c r="C98" s="174" t="s">
        <v>349</v>
      </c>
      <c r="D98" s="171">
        <v>17100</v>
      </c>
      <c r="E98" s="171"/>
      <c r="F98" s="171">
        <v>4200</v>
      </c>
      <c r="G98" s="171"/>
      <c r="H98" s="177">
        <f t="shared" si="3"/>
        <v>407.1428571428571</v>
      </c>
      <c r="I98" s="165">
        <f>1.02*1.08*1.06</f>
        <v>1.1676960000000003</v>
      </c>
      <c r="J98" s="162">
        <f>I98*1.05</f>
        <v>1.2260808000000003</v>
      </c>
      <c r="K98" s="168"/>
    </row>
    <row r="99" spans="1:11" ht="11.25" customHeight="1">
      <c r="A99" s="36"/>
      <c r="B99" s="37" t="s">
        <v>101</v>
      </c>
      <c r="C99" s="175"/>
      <c r="D99" s="172"/>
      <c r="E99" s="172"/>
      <c r="F99" s="172"/>
      <c r="G99" s="172"/>
      <c r="H99" s="178"/>
      <c r="I99" s="166"/>
      <c r="J99" s="163"/>
      <c r="K99" s="169"/>
    </row>
    <row r="100" spans="1:11" ht="10.5" customHeight="1">
      <c r="A100" s="36"/>
      <c r="B100" s="37" t="s">
        <v>105</v>
      </c>
      <c r="C100" s="175"/>
      <c r="D100" s="172"/>
      <c r="E100" s="172"/>
      <c r="F100" s="172"/>
      <c r="G100" s="172"/>
      <c r="H100" s="178"/>
      <c r="I100" s="166"/>
      <c r="J100" s="163"/>
      <c r="K100" s="169"/>
    </row>
    <row r="101" spans="1:11" ht="11.25" customHeight="1">
      <c r="A101" s="36"/>
      <c r="B101" s="37" t="s">
        <v>106</v>
      </c>
      <c r="C101" s="176"/>
      <c r="D101" s="173"/>
      <c r="E101" s="173"/>
      <c r="F101" s="173"/>
      <c r="G101" s="173"/>
      <c r="H101" s="179"/>
      <c r="I101" s="167"/>
      <c r="J101" s="164"/>
      <c r="K101" s="170"/>
    </row>
    <row r="102" spans="1:11" ht="12.75">
      <c r="A102" s="34" t="s">
        <v>429</v>
      </c>
      <c r="B102" s="32" t="s">
        <v>112</v>
      </c>
      <c r="C102" s="174" t="s">
        <v>349</v>
      </c>
      <c r="D102" s="171">
        <v>20520</v>
      </c>
      <c r="E102" s="171"/>
      <c r="F102" s="171">
        <v>5600</v>
      </c>
      <c r="G102" s="171"/>
      <c r="H102" s="177">
        <f t="shared" si="3"/>
        <v>366.4285714285714</v>
      </c>
      <c r="I102" s="165">
        <f>1.36*1.08*1.06</f>
        <v>1.556928</v>
      </c>
      <c r="J102" s="162">
        <f>I102*1.05</f>
        <v>1.6347744000000002</v>
      </c>
      <c r="K102" s="168"/>
    </row>
    <row r="103" spans="1:11" ht="12" customHeight="1">
      <c r="A103" s="36"/>
      <c r="B103" s="37" t="s">
        <v>101</v>
      </c>
      <c r="C103" s="175"/>
      <c r="D103" s="172"/>
      <c r="E103" s="172"/>
      <c r="F103" s="172"/>
      <c r="G103" s="172"/>
      <c r="H103" s="178"/>
      <c r="I103" s="166"/>
      <c r="J103" s="163"/>
      <c r="K103" s="169"/>
    </row>
    <row r="104" spans="1:11" ht="12" customHeight="1">
      <c r="A104" s="36"/>
      <c r="B104" s="37" t="s">
        <v>105</v>
      </c>
      <c r="C104" s="175"/>
      <c r="D104" s="172"/>
      <c r="E104" s="172"/>
      <c r="F104" s="172"/>
      <c r="G104" s="172"/>
      <c r="H104" s="178"/>
      <c r="I104" s="166"/>
      <c r="J104" s="163"/>
      <c r="K104" s="169"/>
    </row>
    <row r="105" spans="1:11" ht="10.5" customHeight="1">
      <c r="A105" s="36"/>
      <c r="B105" s="37" t="s">
        <v>108</v>
      </c>
      <c r="C105" s="176"/>
      <c r="D105" s="173"/>
      <c r="E105" s="173"/>
      <c r="F105" s="173"/>
      <c r="G105" s="173"/>
      <c r="H105" s="179"/>
      <c r="I105" s="167"/>
      <c r="J105" s="164"/>
      <c r="K105" s="170"/>
    </row>
    <row r="106" spans="1:11" ht="12.75" customHeight="1">
      <c r="A106" s="34" t="s">
        <v>430</v>
      </c>
      <c r="B106" s="32" t="s">
        <v>112</v>
      </c>
      <c r="C106" s="174" t="s">
        <v>349</v>
      </c>
      <c r="D106" s="171">
        <v>23940</v>
      </c>
      <c r="E106" s="171"/>
      <c r="F106" s="171">
        <v>7000</v>
      </c>
      <c r="G106" s="171"/>
      <c r="H106" s="177">
        <f t="shared" si="3"/>
        <v>342</v>
      </c>
      <c r="I106" s="165">
        <f>1.69*1.08*1.06</f>
        <v>1.9347120000000002</v>
      </c>
      <c r="J106" s="162">
        <f>I106*1.05</f>
        <v>2.0314476000000004</v>
      </c>
      <c r="K106" s="168"/>
    </row>
    <row r="107" spans="1:11" ht="11.25" customHeight="1">
      <c r="A107" s="36"/>
      <c r="B107" s="37" t="s">
        <v>101</v>
      </c>
      <c r="C107" s="175"/>
      <c r="D107" s="172"/>
      <c r="E107" s="172"/>
      <c r="F107" s="172"/>
      <c r="G107" s="172"/>
      <c r="H107" s="178"/>
      <c r="I107" s="166"/>
      <c r="J107" s="163"/>
      <c r="K107" s="169"/>
    </row>
    <row r="108" spans="1:11" ht="10.5" customHeight="1">
      <c r="A108" s="36"/>
      <c r="B108" s="37" t="s">
        <v>105</v>
      </c>
      <c r="C108" s="175"/>
      <c r="D108" s="172"/>
      <c r="E108" s="172"/>
      <c r="F108" s="172"/>
      <c r="G108" s="172"/>
      <c r="H108" s="178"/>
      <c r="I108" s="166"/>
      <c r="J108" s="163"/>
      <c r="K108" s="169"/>
    </row>
    <row r="109" spans="1:11" ht="10.5" customHeight="1">
      <c r="A109" s="38"/>
      <c r="B109" s="39" t="s">
        <v>110</v>
      </c>
      <c r="C109" s="176"/>
      <c r="D109" s="173"/>
      <c r="E109" s="173"/>
      <c r="F109" s="173"/>
      <c r="G109" s="173"/>
      <c r="H109" s="179"/>
      <c r="I109" s="167"/>
      <c r="J109" s="164"/>
      <c r="K109" s="170"/>
    </row>
    <row r="110" spans="1:11" ht="37.5" customHeight="1">
      <c r="A110" s="86" t="s">
        <v>431</v>
      </c>
      <c r="B110" s="32" t="s">
        <v>432</v>
      </c>
      <c r="C110" s="87" t="s">
        <v>349</v>
      </c>
      <c r="D110" s="1">
        <v>13680</v>
      </c>
      <c r="E110" s="1"/>
      <c r="F110" s="1">
        <v>2750</v>
      </c>
      <c r="G110" s="1"/>
      <c r="H110" s="49">
        <f t="shared" si="3"/>
        <v>497.45454545454544</v>
      </c>
      <c r="I110" s="118">
        <f>0.67*1.08*1.06</f>
        <v>0.7670160000000001</v>
      </c>
      <c r="J110" s="112">
        <f aca="true" t="shared" si="4" ref="J110:J141">I110*1.05</f>
        <v>0.8053668000000002</v>
      </c>
      <c r="K110" s="16"/>
    </row>
    <row r="111" spans="1:11" ht="38.25">
      <c r="A111" s="86" t="s">
        <v>433</v>
      </c>
      <c r="B111" s="32" t="s">
        <v>434</v>
      </c>
      <c r="C111" s="87" t="s">
        <v>349</v>
      </c>
      <c r="D111" s="1">
        <v>17100</v>
      </c>
      <c r="E111" s="1"/>
      <c r="F111" s="1">
        <v>3650</v>
      </c>
      <c r="G111" s="1"/>
      <c r="H111" s="49">
        <f t="shared" si="3"/>
        <v>468.4931506849315</v>
      </c>
      <c r="I111" s="118">
        <f>0.89*1.08*1.06</f>
        <v>1.018872</v>
      </c>
      <c r="J111" s="112">
        <f t="shared" si="4"/>
        <v>1.0698156</v>
      </c>
      <c r="K111" s="16"/>
    </row>
    <row r="112" spans="1:11" ht="38.25">
      <c r="A112" s="86" t="s">
        <v>435</v>
      </c>
      <c r="B112" s="32" t="s">
        <v>436</v>
      </c>
      <c r="C112" s="87" t="s">
        <v>349</v>
      </c>
      <c r="D112" s="1">
        <v>20520</v>
      </c>
      <c r="E112" s="1"/>
      <c r="F112" s="1">
        <v>4200</v>
      </c>
      <c r="G112" s="1"/>
      <c r="H112" s="49">
        <f t="shared" si="3"/>
        <v>488.5714285714286</v>
      </c>
      <c r="I112" s="118">
        <f>1.02*1.08*1.06</f>
        <v>1.1676960000000003</v>
      </c>
      <c r="J112" s="112">
        <f t="shared" si="4"/>
        <v>1.2260808000000003</v>
      </c>
      <c r="K112" s="16"/>
    </row>
    <row r="113" spans="1:11" ht="36" customHeight="1">
      <c r="A113" s="86" t="s">
        <v>437</v>
      </c>
      <c r="B113" s="32" t="s">
        <v>438</v>
      </c>
      <c r="C113" s="87" t="s">
        <v>349</v>
      </c>
      <c r="D113" s="1">
        <v>23940</v>
      </c>
      <c r="E113" s="1"/>
      <c r="F113" s="1">
        <v>5050</v>
      </c>
      <c r="G113" s="1"/>
      <c r="H113" s="49">
        <f t="shared" si="3"/>
        <v>474.05940594059405</v>
      </c>
      <c r="I113" s="118">
        <f>1.23*1.08*1.06</f>
        <v>1.408104</v>
      </c>
      <c r="J113" s="112">
        <f t="shared" si="4"/>
        <v>1.4785092000000002</v>
      </c>
      <c r="K113" s="16"/>
    </row>
    <row r="114" spans="1:11" ht="23.25" customHeight="1">
      <c r="A114" s="30" t="s">
        <v>439</v>
      </c>
      <c r="B114" s="19" t="s">
        <v>440</v>
      </c>
      <c r="C114" s="87" t="s">
        <v>349</v>
      </c>
      <c r="D114" s="88">
        <v>13680</v>
      </c>
      <c r="E114" s="88"/>
      <c r="F114" s="88">
        <v>3600</v>
      </c>
      <c r="G114" s="88"/>
      <c r="H114" s="89">
        <f t="shared" si="3"/>
        <v>380</v>
      </c>
      <c r="I114" s="118">
        <f>0.87*1.08*1.06</f>
        <v>0.9959760000000002</v>
      </c>
      <c r="J114" s="112">
        <f t="shared" si="4"/>
        <v>1.0457748000000002</v>
      </c>
      <c r="K114" s="16"/>
    </row>
    <row r="115" spans="1:11" ht="24.75" customHeight="1">
      <c r="A115" s="30" t="s">
        <v>441</v>
      </c>
      <c r="B115" s="19" t="s">
        <v>442</v>
      </c>
      <c r="C115" s="87" t="s">
        <v>349</v>
      </c>
      <c r="D115" s="88">
        <v>17100</v>
      </c>
      <c r="E115" s="88"/>
      <c r="F115" s="88">
        <v>4800</v>
      </c>
      <c r="G115" s="88"/>
      <c r="H115" s="89">
        <f t="shared" si="3"/>
        <v>356.25</v>
      </c>
      <c r="I115" s="118">
        <f>1.16*1.08*1.06</f>
        <v>1.327968</v>
      </c>
      <c r="J115" s="112">
        <f t="shared" si="4"/>
        <v>1.3943664</v>
      </c>
      <c r="K115" s="16"/>
    </row>
    <row r="116" spans="1:11" ht="12.75">
      <c r="A116" s="30" t="s">
        <v>443</v>
      </c>
      <c r="B116" s="19" t="s">
        <v>444</v>
      </c>
      <c r="C116" s="4" t="s">
        <v>349</v>
      </c>
      <c r="D116" s="1">
        <v>13680</v>
      </c>
      <c r="E116" s="1"/>
      <c r="F116" s="1">
        <v>6800</v>
      </c>
      <c r="G116" s="1"/>
      <c r="H116" s="49">
        <f t="shared" si="3"/>
        <v>201.1764705882353</v>
      </c>
      <c r="I116" s="117">
        <f>1.65*1.08*1.06</f>
        <v>1.8889200000000002</v>
      </c>
      <c r="J116" s="112">
        <f t="shared" si="4"/>
        <v>1.9833660000000002</v>
      </c>
      <c r="K116" s="16"/>
    </row>
    <row r="117" spans="1:11" ht="12.75">
      <c r="A117" s="30" t="s">
        <v>445</v>
      </c>
      <c r="B117" s="19" t="s">
        <v>446</v>
      </c>
      <c r="C117" s="4" t="s">
        <v>349</v>
      </c>
      <c r="D117" s="1">
        <v>6840</v>
      </c>
      <c r="E117" s="1"/>
      <c r="F117" s="1">
        <v>2700</v>
      </c>
      <c r="G117" s="1"/>
      <c r="H117" s="49">
        <f t="shared" si="3"/>
        <v>253.33333333333331</v>
      </c>
      <c r="I117" s="117">
        <f>0.66*1.08*1.06</f>
        <v>0.7555680000000001</v>
      </c>
      <c r="J117" s="112">
        <f t="shared" si="4"/>
        <v>0.7933464000000001</v>
      </c>
      <c r="K117" s="16"/>
    </row>
    <row r="118" spans="1:11" ht="25.5">
      <c r="A118" s="30" t="s">
        <v>447</v>
      </c>
      <c r="B118" s="19" t="s">
        <v>448</v>
      </c>
      <c r="C118" s="87" t="s">
        <v>349</v>
      </c>
      <c r="D118" s="88">
        <v>10260</v>
      </c>
      <c r="E118" s="88"/>
      <c r="F118" s="88">
        <v>4350</v>
      </c>
      <c r="G118" s="88"/>
      <c r="H118" s="89">
        <f t="shared" si="3"/>
        <v>235.8620689655172</v>
      </c>
      <c r="I118" s="118">
        <f>1.06*1.08*1.06</f>
        <v>1.2134880000000001</v>
      </c>
      <c r="J118" s="112">
        <f t="shared" si="4"/>
        <v>1.2741624000000003</v>
      </c>
      <c r="K118" s="16"/>
    </row>
    <row r="119" spans="1:11" ht="25.5">
      <c r="A119" s="30" t="s">
        <v>449</v>
      </c>
      <c r="B119" s="19" t="s">
        <v>450</v>
      </c>
      <c r="C119" s="87" t="s">
        <v>349</v>
      </c>
      <c r="D119" s="88">
        <v>17100</v>
      </c>
      <c r="E119" s="88"/>
      <c r="F119" s="88">
        <v>9000</v>
      </c>
      <c r="G119" s="88"/>
      <c r="H119" s="89">
        <f t="shared" si="3"/>
        <v>190</v>
      </c>
      <c r="I119" s="118">
        <f>2.18*1.08*1.06</f>
        <v>2.4956640000000005</v>
      </c>
      <c r="J119" s="112">
        <f t="shared" si="4"/>
        <v>2.6204472000000005</v>
      </c>
      <c r="K119" s="16"/>
    </row>
    <row r="120" spans="1:11" ht="25.5" customHeight="1">
      <c r="A120" s="30" t="s">
        <v>451</v>
      </c>
      <c r="B120" s="19" t="s">
        <v>452</v>
      </c>
      <c r="C120" s="87" t="s">
        <v>349</v>
      </c>
      <c r="D120" s="88">
        <v>20520</v>
      </c>
      <c r="E120" s="88"/>
      <c r="F120" s="88">
        <v>12000</v>
      </c>
      <c r="G120" s="88"/>
      <c r="H120" s="89">
        <f t="shared" si="3"/>
        <v>171</v>
      </c>
      <c r="I120" s="118">
        <f>2.91*1.08*1.06</f>
        <v>3.3313680000000003</v>
      </c>
      <c r="J120" s="112">
        <f t="shared" si="4"/>
        <v>3.4979364000000004</v>
      </c>
      <c r="K120" s="16"/>
    </row>
    <row r="121" spans="1:11" ht="12.75">
      <c r="A121" s="30" t="s">
        <v>453</v>
      </c>
      <c r="B121" s="19" t="s">
        <v>454</v>
      </c>
      <c r="C121" s="4" t="s">
        <v>349</v>
      </c>
      <c r="D121" s="1">
        <v>2740</v>
      </c>
      <c r="E121" s="1"/>
      <c r="F121" s="1">
        <v>650</v>
      </c>
      <c r="G121" s="1"/>
      <c r="H121" s="49">
        <f t="shared" si="3"/>
        <v>421.53846153846155</v>
      </c>
      <c r="I121" s="117">
        <f>0.16*1.08*1.06</f>
        <v>0.18316800000000003</v>
      </c>
      <c r="J121" s="112">
        <f t="shared" si="4"/>
        <v>0.19232640000000004</v>
      </c>
      <c r="K121" s="16"/>
    </row>
    <row r="122" spans="1:11" ht="12.75">
      <c r="A122" s="30" t="s">
        <v>455</v>
      </c>
      <c r="B122" s="19" t="s">
        <v>456</v>
      </c>
      <c r="C122" s="4" t="s">
        <v>349</v>
      </c>
      <c r="D122" s="1">
        <v>5470</v>
      </c>
      <c r="E122" s="1"/>
      <c r="F122" s="1">
        <v>1200</v>
      </c>
      <c r="G122" s="1"/>
      <c r="H122" s="49">
        <f t="shared" si="3"/>
        <v>455.83333333333337</v>
      </c>
      <c r="I122" s="117">
        <f>0.29*1.08*1.06</f>
        <v>0.331992</v>
      </c>
      <c r="J122" s="112">
        <f t="shared" si="4"/>
        <v>0.3485916</v>
      </c>
      <c r="K122" s="16"/>
    </row>
    <row r="123" spans="1:11" ht="12.75">
      <c r="A123" s="30" t="s">
        <v>457</v>
      </c>
      <c r="B123" s="19" t="s">
        <v>458</v>
      </c>
      <c r="C123" s="4" t="s">
        <v>349</v>
      </c>
      <c r="D123" s="1">
        <v>10260</v>
      </c>
      <c r="E123" s="1"/>
      <c r="F123" s="1">
        <v>2850</v>
      </c>
      <c r="G123" s="1"/>
      <c r="H123" s="49">
        <f t="shared" si="3"/>
        <v>360</v>
      </c>
      <c r="I123" s="117">
        <f>0.69*1.08*1.06</f>
        <v>0.7899120000000001</v>
      </c>
      <c r="J123" s="112">
        <f t="shared" si="4"/>
        <v>0.8294076000000001</v>
      </c>
      <c r="K123" s="16"/>
    </row>
    <row r="124" spans="1:11" ht="12.75">
      <c r="A124" s="29" t="s">
        <v>459</v>
      </c>
      <c r="B124" s="32" t="s">
        <v>460</v>
      </c>
      <c r="C124" s="4" t="s">
        <v>349</v>
      </c>
      <c r="D124" s="1">
        <v>6840</v>
      </c>
      <c r="E124" s="1"/>
      <c r="F124" s="1">
        <v>2050</v>
      </c>
      <c r="G124" s="1"/>
      <c r="H124" s="49">
        <f t="shared" si="3"/>
        <v>333.6585365853658</v>
      </c>
      <c r="I124" s="117">
        <f>0.49*1.08*1.06</f>
        <v>0.560952</v>
      </c>
      <c r="J124" s="112">
        <f t="shared" si="4"/>
        <v>0.5889996000000001</v>
      </c>
      <c r="K124" s="16"/>
    </row>
    <row r="125" spans="1:11" ht="12.75">
      <c r="A125" s="29" t="s">
        <v>461</v>
      </c>
      <c r="B125" s="32" t="s">
        <v>462</v>
      </c>
      <c r="C125" s="4" t="s">
        <v>349</v>
      </c>
      <c r="D125" s="1">
        <v>6840</v>
      </c>
      <c r="E125" s="1"/>
      <c r="F125" s="1">
        <v>720</v>
      </c>
      <c r="G125" s="1"/>
      <c r="H125" s="49">
        <f t="shared" si="3"/>
        <v>950</v>
      </c>
      <c r="I125" s="117">
        <f>0.17*1.08*1.06</f>
        <v>0.194616</v>
      </c>
      <c r="J125" s="112">
        <f t="shared" si="4"/>
        <v>0.20434680000000002</v>
      </c>
      <c r="K125" s="16"/>
    </row>
    <row r="126" spans="1:11" ht="12.75">
      <c r="A126" s="29" t="s">
        <v>463</v>
      </c>
      <c r="B126" s="32" t="s">
        <v>464</v>
      </c>
      <c r="C126" s="4" t="s">
        <v>465</v>
      </c>
      <c r="D126" s="1">
        <v>18240</v>
      </c>
      <c r="E126" s="1"/>
      <c r="F126" s="1">
        <v>7450</v>
      </c>
      <c r="G126" s="1"/>
      <c r="H126" s="49">
        <f t="shared" si="3"/>
        <v>244.83221476510067</v>
      </c>
      <c r="I126" s="117">
        <f>1.81*1.08*1.06</f>
        <v>2.0720880000000004</v>
      </c>
      <c r="J126" s="112">
        <f t="shared" si="4"/>
        <v>2.1756924000000004</v>
      </c>
      <c r="K126" s="16"/>
    </row>
    <row r="127" spans="1:11" ht="12.75">
      <c r="A127" s="29" t="s">
        <v>466</v>
      </c>
      <c r="B127" s="26" t="s">
        <v>467</v>
      </c>
      <c r="C127" s="4" t="s">
        <v>465</v>
      </c>
      <c r="D127" s="1">
        <v>27360</v>
      </c>
      <c r="E127" s="1"/>
      <c r="F127" s="1">
        <v>11150</v>
      </c>
      <c r="G127" s="1"/>
      <c r="H127" s="49">
        <f t="shared" si="3"/>
        <v>245.38116591928252</v>
      </c>
      <c r="I127" s="117">
        <f>2.7*1.08*1.06</f>
        <v>3.0909600000000004</v>
      </c>
      <c r="J127" s="112">
        <f t="shared" si="4"/>
        <v>3.2455080000000005</v>
      </c>
      <c r="K127" s="16"/>
    </row>
    <row r="128" spans="1:11" ht="25.5">
      <c r="A128" s="29" t="s">
        <v>468</v>
      </c>
      <c r="B128" s="26" t="s">
        <v>469</v>
      </c>
      <c r="C128" s="87" t="s">
        <v>465</v>
      </c>
      <c r="D128" s="88">
        <v>36480</v>
      </c>
      <c r="E128" s="88"/>
      <c r="F128" s="88">
        <v>9290</v>
      </c>
      <c r="G128" s="88"/>
      <c r="H128" s="89">
        <f t="shared" si="3"/>
        <v>392.68030139935416</v>
      </c>
      <c r="I128" s="118">
        <f>2.25*1.08*1.06</f>
        <v>2.5758</v>
      </c>
      <c r="J128" s="112">
        <f t="shared" si="4"/>
        <v>2.70459</v>
      </c>
      <c r="K128" s="16"/>
    </row>
    <row r="129" spans="1:11" ht="25.5">
      <c r="A129" s="22" t="s">
        <v>470</v>
      </c>
      <c r="B129" s="26" t="s">
        <v>471</v>
      </c>
      <c r="C129" s="87" t="s">
        <v>465</v>
      </c>
      <c r="D129" s="88">
        <v>50630</v>
      </c>
      <c r="E129" s="88"/>
      <c r="F129" s="88">
        <v>17180</v>
      </c>
      <c r="G129" s="88"/>
      <c r="H129" s="89">
        <f t="shared" si="3"/>
        <v>294.70314318975556</v>
      </c>
      <c r="I129" s="118">
        <f>4.16*1.08*1.06</f>
        <v>4.762368000000001</v>
      </c>
      <c r="J129" s="112">
        <f t="shared" si="4"/>
        <v>5.0004864000000016</v>
      </c>
      <c r="K129" s="16"/>
    </row>
    <row r="130" spans="1:11" ht="12.75">
      <c r="A130" s="22" t="s">
        <v>472</v>
      </c>
      <c r="B130" s="26" t="s">
        <v>473</v>
      </c>
      <c r="C130" s="4" t="s">
        <v>465</v>
      </c>
      <c r="D130" s="1">
        <v>27360</v>
      </c>
      <c r="E130" s="1"/>
      <c r="F130" s="1">
        <v>11150</v>
      </c>
      <c r="G130" s="1"/>
      <c r="H130" s="49">
        <f t="shared" si="3"/>
        <v>245.38116591928252</v>
      </c>
      <c r="I130" s="117">
        <f>2.7*1.08*1.06</f>
        <v>3.0909600000000004</v>
      </c>
      <c r="J130" s="112">
        <f t="shared" si="4"/>
        <v>3.2455080000000005</v>
      </c>
      <c r="K130" s="16"/>
    </row>
    <row r="131" spans="1:11" ht="12.75">
      <c r="A131" s="22" t="s">
        <v>474</v>
      </c>
      <c r="B131" s="26" t="s">
        <v>475</v>
      </c>
      <c r="C131" s="4" t="s">
        <v>465</v>
      </c>
      <c r="D131" s="1">
        <v>34430</v>
      </c>
      <c r="E131" s="1"/>
      <c r="F131" s="1">
        <v>7450</v>
      </c>
      <c r="G131" s="1"/>
      <c r="H131" s="49">
        <f t="shared" si="3"/>
        <v>462.14765100671144</v>
      </c>
      <c r="I131" s="117">
        <f>1.81*1.08*1.06</f>
        <v>2.0720880000000004</v>
      </c>
      <c r="J131" s="112">
        <f t="shared" si="4"/>
        <v>2.1756924000000004</v>
      </c>
      <c r="K131" s="16"/>
    </row>
    <row r="132" spans="1:11" ht="23.25" customHeight="1">
      <c r="A132" s="22" t="s">
        <v>476</v>
      </c>
      <c r="B132" s="26" t="s">
        <v>477</v>
      </c>
      <c r="C132" s="87" t="s">
        <v>465</v>
      </c>
      <c r="D132" s="88">
        <v>50630</v>
      </c>
      <c r="E132" s="88"/>
      <c r="F132" s="88">
        <v>10500</v>
      </c>
      <c r="G132" s="88"/>
      <c r="H132" s="89">
        <f t="shared" si="3"/>
        <v>482.19047619047615</v>
      </c>
      <c r="I132" s="118">
        <f>2.55*1.08*1.06</f>
        <v>2.9192400000000003</v>
      </c>
      <c r="J132" s="112">
        <f t="shared" si="4"/>
        <v>3.065202</v>
      </c>
      <c r="K132" s="16"/>
    </row>
    <row r="133" spans="1:11" ht="21.75" customHeight="1">
      <c r="A133" s="22" t="s">
        <v>478</v>
      </c>
      <c r="B133" s="26" t="s">
        <v>479</v>
      </c>
      <c r="C133" s="87" t="s">
        <v>465</v>
      </c>
      <c r="D133" s="88">
        <v>75940</v>
      </c>
      <c r="E133" s="88"/>
      <c r="F133" s="88">
        <v>17180</v>
      </c>
      <c r="G133" s="88"/>
      <c r="H133" s="89">
        <f t="shared" si="3"/>
        <v>442.0256111757858</v>
      </c>
      <c r="I133" s="118">
        <f>4.16*1.08*1.06</f>
        <v>4.762368000000001</v>
      </c>
      <c r="J133" s="112">
        <f t="shared" si="4"/>
        <v>5.0004864000000016</v>
      </c>
      <c r="K133" s="16"/>
    </row>
    <row r="134" spans="1:11" ht="12.75">
      <c r="A134" s="22" t="s">
        <v>480</v>
      </c>
      <c r="B134" s="26" t="s">
        <v>481</v>
      </c>
      <c r="C134" s="4" t="s">
        <v>465</v>
      </c>
      <c r="D134" s="1">
        <v>50630</v>
      </c>
      <c r="E134" s="1"/>
      <c r="F134" s="1">
        <v>10500</v>
      </c>
      <c r="G134" s="1"/>
      <c r="H134" s="49">
        <f t="shared" si="3"/>
        <v>482.19047619047615</v>
      </c>
      <c r="I134" s="117">
        <f>2.55*1.08*1.06</f>
        <v>2.9192400000000003</v>
      </c>
      <c r="J134" s="112">
        <f t="shared" si="4"/>
        <v>3.065202</v>
      </c>
      <c r="K134" s="16"/>
    </row>
    <row r="135" spans="1:11" ht="12.75">
      <c r="A135" s="22" t="s">
        <v>482</v>
      </c>
      <c r="B135" s="26" t="s">
        <v>483</v>
      </c>
      <c r="C135" s="4" t="s">
        <v>465</v>
      </c>
      <c r="D135" s="1">
        <v>75940</v>
      </c>
      <c r="E135" s="1"/>
      <c r="F135" s="1">
        <v>25760</v>
      </c>
      <c r="G135" s="1"/>
      <c r="H135" s="49">
        <f t="shared" si="3"/>
        <v>294.79813664596276</v>
      </c>
      <c r="I135" s="117">
        <f>6.24*1.08*1.06</f>
        <v>7.143552000000001</v>
      </c>
      <c r="J135" s="112">
        <f t="shared" si="4"/>
        <v>7.5007296000000006</v>
      </c>
      <c r="K135" s="16"/>
    </row>
    <row r="136" spans="1:11" ht="23.25" customHeight="1">
      <c r="A136" s="22" t="s">
        <v>484</v>
      </c>
      <c r="B136" s="26" t="s">
        <v>485</v>
      </c>
      <c r="C136" s="87" t="s">
        <v>465</v>
      </c>
      <c r="D136" s="1">
        <v>13480</v>
      </c>
      <c r="E136" s="1"/>
      <c r="F136" s="1">
        <v>4290</v>
      </c>
      <c r="G136" s="1"/>
      <c r="H136" s="49">
        <f t="shared" si="3"/>
        <v>314.21911421911426</v>
      </c>
      <c r="I136" s="118">
        <f>1.04*1.08*1.06</f>
        <v>1.1905920000000003</v>
      </c>
      <c r="J136" s="112">
        <f t="shared" si="4"/>
        <v>1.2501216000000004</v>
      </c>
      <c r="K136" s="16"/>
    </row>
    <row r="137" spans="1:11" ht="12.75">
      <c r="A137" s="26" t="s">
        <v>486</v>
      </c>
      <c r="B137" s="26" t="s">
        <v>147</v>
      </c>
      <c r="C137" s="4" t="s">
        <v>349</v>
      </c>
      <c r="D137" s="1">
        <v>25320</v>
      </c>
      <c r="E137" s="1"/>
      <c r="F137" s="1">
        <v>1900</v>
      </c>
      <c r="G137" s="1"/>
      <c r="H137" s="49">
        <f t="shared" si="3"/>
        <v>1332.6315789473683</v>
      </c>
      <c r="I137" s="117">
        <f>0.46*1.08*1.06</f>
        <v>0.5266080000000001</v>
      </c>
      <c r="J137" s="112">
        <f t="shared" si="4"/>
        <v>0.5529384</v>
      </c>
      <c r="K137" s="16"/>
    </row>
    <row r="138" spans="1:11" ht="12.75">
      <c r="A138" s="26" t="s">
        <v>487</v>
      </c>
      <c r="B138" s="26" t="s">
        <v>145</v>
      </c>
      <c r="C138" s="4" t="s">
        <v>349</v>
      </c>
      <c r="D138" s="1">
        <v>11430</v>
      </c>
      <c r="E138" s="1"/>
      <c r="F138" s="1">
        <v>1900</v>
      </c>
      <c r="G138" s="1"/>
      <c r="H138" s="49">
        <f t="shared" si="3"/>
        <v>601.578947368421</v>
      </c>
      <c r="I138" s="117">
        <f>0.46*1.08*1.06</f>
        <v>0.5266080000000001</v>
      </c>
      <c r="J138" s="112">
        <f t="shared" si="4"/>
        <v>0.5529384</v>
      </c>
      <c r="K138" s="16"/>
    </row>
    <row r="139" spans="1:11" ht="12.75">
      <c r="A139" s="26" t="s">
        <v>488</v>
      </c>
      <c r="B139" s="26" t="s">
        <v>489</v>
      </c>
      <c r="C139" s="4" t="s">
        <v>349</v>
      </c>
      <c r="D139" s="1">
        <v>32150</v>
      </c>
      <c r="E139" s="1"/>
      <c r="F139" s="1">
        <v>7050</v>
      </c>
      <c r="G139" s="1"/>
      <c r="H139" s="49">
        <f t="shared" si="3"/>
        <v>456.02836879432624</v>
      </c>
      <c r="I139" s="117">
        <f>1.71*1.08*1.06</f>
        <v>1.957608</v>
      </c>
      <c r="J139" s="112">
        <f t="shared" si="4"/>
        <v>2.0554884</v>
      </c>
      <c r="K139" s="16"/>
    </row>
    <row r="140" spans="1:11" ht="12.75">
      <c r="A140" s="26" t="s">
        <v>490</v>
      </c>
      <c r="B140" s="26" t="s">
        <v>133</v>
      </c>
      <c r="C140" s="4" t="s">
        <v>349</v>
      </c>
      <c r="D140" s="1">
        <v>13680</v>
      </c>
      <c r="E140" s="1"/>
      <c r="F140" s="1">
        <v>1450</v>
      </c>
      <c r="G140" s="1"/>
      <c r="H140" s="49">
        <f t="shared" si="3"/>
        <v>943.4482758620688</v>
      </c>
      <c r="I140" s="117">
        <f>0.35*1.08*1.06</f>
        <v>0.40068000000000004</v>
      </c>
      <c r="J140" s="112">
        <f t="shared" si="4"/>
        <v>0.42071400000000003</v>
      </c>
      <c r="K140" s="16"/>
    </row>
    <row r="141" spans="1:11" ht="12.75">
      <c r="A141" s="26" t="s">
        <v>491</v>
      </c>
      <c r="B141" s="26" t="s">
        <v>135</v>
      </c>
      <c r="C141" s="4" t="s">
        <v>349</v>
      </c>
      <c r="D141" s="1">
        <v>2740</v>
      </c>
      <c r="E141" s="1"/>
      <c r="F141" s="1">
        <v>850</v>
      </c>
      <c r="G141" s="1"/>
      <c r="H141" s="49">
        <f t="shared" si="3"/>
        <v>322.3529411764706</v>
      </c>
      <c r="I141" s="117">
        <f>0.21*1.08*1.06</f>
        <v>0.240408</v>
      </c>
      <c r="J141" s="112">
        <f t="shared" si="4"/>
        <v>0.2524284</v>
      </c>
      <c r="K141" s="16"/>
    </row>
    <row r="142" spans="1:11" ht="12.75">
      <c r="A142" s="26" t="s">
        <v>492</v>
      </c>
      <c r="B142" s="26" t="s">
        <v>493</v>
      </c>
      <c r="C142" s="4" t="s">
        <v>349</v>
      </c>
      <c r="D142" s="1">
        <v>15530</v>
      </c>
      <c r="E142" s="1"/>
      <c r="F142" s="1">
        <v>2250</v>
      </c>
      <c r="G142" s="1"/>
      <c r="H142" s="49">
        <f t="shared" si="3"/>
        <v>690.2222222222222</v>
      </c>
      <c r="I142" s="117">
        <f>0.55*1.08*1.06</f>
        <v>0.6296400000000001</v>
      </c>
      <c r="J142" s="112">
        <f aca="true" t="shared" si="5" ref="J142:J173">I142*1.05</f>
        <v>0.6611220000000001</v>
      </c>
      <c r="K142" s="16"/>
    </row>
    <row r="143" spans="1:11" ht="12.75">
      <c r="A143" s="26" t="s">
        <v>494</v>
      </c>
      <c r="B143" s="26" t="s">
        <v>137</v>
      </c>
      <c r="C143" s="4" t="s">
        <v>349</v>
      </c>
      <c r="D143" s="1">
        <v>1980</v>
      </c>
      <c r="E143" s="1"/>
      <c r="F143" s="1">
        <v>1550</v>
      </c>
      <c r="G143" s="1"/>
      <c r="H143" s="49">
        <f t="shared" si="3"/>
        <v>127.74193548387096</v>
      </c>
      <c r="I143" s="117">
        <f>0.38*1.08*1.06</f>
        <v>0.4350240000000001</v>
      </c>
      <c r="J143" s="112">
        <f t="shared" si="5"/>
        <v>0.4567752000000001</v>
      </c>
      <c r="K143" s="16"/>
    </row>
    <row r="144" spans="1:11" ht="12.75">
      <c r="A144" s="26" t="s">
        <v>495</v>
      </c>
      <c r="B144" s="26" t="s">
        <v>496</v>
      </c>
      <c r="C144" s="4" t="s">
        <v>349</v>
      </c>
      <c r="D144" s="1">
        <v>15530</v>
      </c>
      <c r="E144" s="1"/>
      <c r="F144" s="1">
        <v>3360</v>
      </c>
      <c r="G144" s="1"/>
      <c r="H144" s="49">
        <f t="shared" si="3"/>
        <v>462.2023809523809</v>
      </c>
      <c r="I144" s="117">
        <f>0.81*1.08*1.06</f>
        <v>0.9272880000000002</v>
      </c>
      <c r="J144" s="112">
        <f t="shared" si="5"/>
        <v>0.9736524000000003</v>
      </c>
      <c r="K144" s="16"/>
    </row>
    <row r="145" spans="1:11" ht="12.75">
      <c r="A145" s="26" t="s">
        <v>497</v>
      </c>
      <c r="B145" s="26" t="s">
        <v>498</v>
      </c>
      <c r="C145" s="4" t="s">
        <v>349</v>
      </c>
      <c r="D145" s="1">
        <v>13680</v>
      </c>
      <c r="E145" s="1"/>
      <c r="F145" s="1">
        <v>1710</v>
      </c>
      <c r="G145" s="1"/>
      <c r="H145" s="49">
        <f aca="true" t="shared" si="6" ref="H145:H204">D145/F145*100</f>
        <v>800</v>
      </c>
      <c r="I145" s="117">
        <f>0.42*1.08*1.06</f>
        <v>0.480816</v>
      </c>
      <c r="J145" s="112">
        <f t="shared" si="5"/>
        <v>0.5048568</v>
      </c>
      <c r="K145" s="16"/>
    </row>
    <row r="146" spans="1:11" ht="12.75">
      <c r="A146" s="26" t="s">
        <v>499</v>
      </c>
      <c r="B146" s="26" t="s">
        <v>500</v>
      </c>
      <c r="C146" s="4" t="s">
        <v>349</v>
      </c>
      <c r="D146" s="1">
        <v>13680</v>
      </c>
      <c r="E146" s="1"/>
      <c r="F146" s="1">
        <v>5500</v>
      </c>
      <c r="G146" s="1"/>
      <c r="H146" s="49">
        <f t="shared" si="6"/>
        <v>248.72727272727272</v>
      </c>
      <c r="I146" s="117">
        <f>1.34*1.08*1.06</f>
        <v>1.5340320000000003</v>
      </c>
      <c r="J146" s="112">
        <f t="shared" si="5"/>
        <v>1.6107336000000003</v>
      </c>
      <c r="K146" s="16"/>
    </row>
    <row r="147" spans="1:11" ht="12.75">
      <c r="A147" s="26" t="s">
        <v>501</v>
      </c>
      <c r="B147" s="26" t="s">
        <v>502</v>
      </c>
      <c r="C147" s="4" t="s">
        <v>349</v>
      </c>
      <c r="D147" s="1">
        <v>20520</v>
      </c>
      <c r="E147" s="1"/>
      <c r="F147" s="1">
        <v>6600</v>
      </c>
      <c r="G147" s="1"/>
      <c r="H147" s="49">
        <f t="shared" si="6"/>
        <v>310.9090909090909</v>
      </c>
      <c r="I147" s="117">
        <f>1.6*1.08*1.06</f>
        <v>1.8316800000000002</v>
      </c>
      <c r="J147" s="112">
        <f t="shared" si="5"/>
        <v>1.9232640000000003</v>
      </c>
      <c r="K147" s="16"/>
    </row>
    <row r="148" spans="1:11" ht="12.75">
      <c r="A148" s="26" t="s">
        <v>503</v>
      </c>
      <c r="B148" s="26" t="s">
        <v>504</v>
      </c>
      <c r="C148" s="4" t="s">
        <v>349</v>
      </c>
      <c r="D148" s="1">
        <v>27360</v>
      </c>
      <c r="E148" s="1"/>
      <c r="F148" s="1">
        <v>7730</v>
      </c>
      <c r="G148" s="1"/>
      <c r="H148" s="49">
        <f t="shared" si="6"/>
        <v>353.9456662354463</v>
      </c>
      <c r="I148" s="117">
        <f>1.87*1.08*1.06</f>
        <v>2.1407760000000002</v>
      </c>
      <c r="J148" s="112">
        <f t="shared" si="5"/>
        <v>2.2478148000000004</v>
      </c>
      <c r="K148" s="16"/>
    </row>
    <row r="149" spans="1:11" ht="12.75">
      <c r="A149" s="26" t="s">
        <v>505</v>
      </c>
      <c r="B149" s="26" t="s">
        <v>506</v>
      </c>
      <c r="C149" s="4" t="s">
        <v>349</v>
      </c>
      <c r="D149" s="1">
        <v>6840</v>
      </c>
      <c r="E149" s="1"/>
      <c r="F149" s="1">
        <v>3510</v>
      </c>
      <c r="G149" s="1"/>
      <c r="H149" s="49">
        <f t="shared" si="6"/>
        <v>194.87179487179486</v>
      </c>
      <c r="I149" s="117">
        <f>0.85*1.08*1.06</f>
        <v>0.9730800000000001</v>
      </c>
      <c r="J149" s="112">
        <f t="shared" si="5"/>
        <v>1.0217340000000001</v>
      </c>
      <c r="K149" s="16"/>
    </row>
    <row r="150" spans="1:11" ht="12.75">
      <c r="A150" s="26" t="s">
        <v>507</v>
      </c>
      <c r="B150" s="26" t="s">
        <v>508</v>
      </c>
      <c r="C150" s="4" t="s">
        <v>349</v>
      </c>
      <c r="D150" s="1">
        <v>17100</v>
      </c>
      <c r="E150" s="1"/>
      <c r="F150" s="1">
        <v>0</v>
      </c>
      <c r="G150" s="1"/>
      <c r="H150" s="49">
        <v>0</v>
      </c>
      <c r="I150" s="117">
        <f>3.43*1.08*1.06</f>
        <v>3.9266640000000006</v>
      </c>
      <c r="J150" s="112">
        <f t="shared" si="5"/>
        <v>4.1229972</v>
      </c>
      <c r="K150" s="16"/>
    </row>
    <row r="151" spans="1:11" ht="12.75">
      <c r="A151" s="26" t="s">
        <v>509</v>
      </c>
      <c r="B151" s="26" t="s">
        <v>510</v>
      </c>
      <c r="C151" s="4" t="s">
        <v>349</v>
      </c>
      <c r="D151" s="1">
        <v>27360</v>
      </c>
      <c r="E151" s="1"/>
      <c r="F151" s="1">
        <v>0</v>
      </c>
      <c r="G151" s="1"/>
      <c r="H151" s="49">
        <v>0</v>
      </c>
      <c r="I151" s="117">
        <f>5.49*1.08*1.06</f>
        <v>6.284952000000001</v>
      </c>
      <c r="J151" s="112">
        <f t="shared" si="5"/>
        <v>6.599199600000002</v>
      </c>
      <c r="K151" s="16"/>
    </row>
    <row r="152" spans="1:11" ht="25.5">
      <c r="A152" s="26" t="s">
        <v>511</v>
      </c>
      <c r="B152" s="26" t="s">
        <v>512</v>
      </c>
      <c r="C152" s="87" t="s">
        <v>349</v>
      </c>
      <c r="D152" s="1">
        <v>17100</v>
      </c>
      <c r="E152" s="1"/>
      <c r="F152" s="1">
        <v>6120</v>
      </c>
      <c r="G152" s="1"/>
      <c r="H152" s="49">
        <f t="shared" si="6"/>
        <v>279.4117647058823</v>
      </c>
      <c r="I152" s="118">
        <f>1.49*1.08*1.06</f>
        <v>1.7057520000000004</v>
      </c>
      <c r="J152" s="112">
        <f t="shared" si="5"/>
        <v>1.7910396000000004</v>
      </c>
      <c r="K152" s="16"/>
    </row>
    <row r="153" spans="1:11" ht="12.75">
      <c r="A153" s="26" t="s">
        <v>513</v>
      </c>
      <c r="B153" s="26" t="s">
        <v>514</v>
      </c>
      <c r="C153" s="4" t="s">
        <v>349</v>
      </c>
      <c r="D153" s="1">
        <v>17100</v>
      </c>
      <c r="E153" s="1"/>
      <c r="F153" s="1">
        <v>2460</v>
      </c>
      <c r="G153" s="1"/>
      <c r="H153" s="49">
        <f t="shared" si="6"/>
        <v>695.1219512195122</v>
      </c>
      <c r="I153" s="117">
        <f>0.6*1.08*1.06</f>
        <v>0.68688</v>
      </c>
      <c r="J153" s="112">
        <f t="shared" si="5"/>
        <v>0.7212240000000001</v>
      </c>
      <c r="K153" s="16"/>
    </row>
    <row r="154" spans="1:11" ht="12.75">
      <c r="A154" s="26" t="s">
        <v>515</v>
      </c>
      <c r="B154" s="26" t="s">
        <v>516</v>
      </c>
      <c r="C154" s="4" t="s">
        <v>349</v>
      </c>
      <c r="D154" s="1">
        <v>23940</v>
      </c>
      <c r="E154" s="1"/>
      <c r="F154" s="1">
        <v>0</v>
      </c>
      <c r="G154" s="1"/>
      <c r="H154" s="49">
        <v>0</v>
      </c>
      <c r="I154" s="117">
        <f>4.8*1.08*1.06</f>
        <v>5.49504</v>
      </c>
      <c r="J154" s="112">
        <f t="shared" si="5"/>
        <v>5.769792000000001</v>
      </c>
      <c r="K154" s="16"/>
    </row>
    <row r="155" spans="1:11" ht="12.75">
      <c r="A155" s="26" t="s">
        <v>517</v>
      </c>
      <c r="B155" s="26" t="s">
        <v>518</v>
      </c>
      <c r="C155" s="4" t="s">
        <v>349</v>
      </c>
      <c r="D155" s="1">
        <v>36600</v>
      </c>
      <c r="E155" s="1"/>
      <c r="F155" s="1">
        <v>0</v>
      </c>
      <c r="G155" s="1"/>
      <c r="H155" s="49">
        <v>0</v>
      </c>
      <c r="I155" s="117">
        <f>7.33*1.08*1.06</f>
        <v>8.391384</v>
      </c>
      <c r="J155" s="112">
        <f t="shared" si="5"/>
        <v>8.8109532</v>
      </c>
      <c r="K155" s="16"/>
    </row>
    <row r="156" spans="1:11" ht="12.75">
      <c r="A156" s="26" t="s">
        <v>519</v>
      </c>
      <c r="B156" s="26" t="s">
        <v>520</v>
      </c>
      <c r="C156" s="4" t="s">
        <v>349</v>
      </c>
      <c r="D156" s="1">
        <v>10260</v>
      </c>
      <c r="E156" s="1"/>
      <c r="F156" s="1">
        <v>2970</v>
      </c>
      <c r="G156" s="1"/>
      <c r="H156" s="49">
        <f t="shared" si="6"/>
        <v>345.45454545454544</v>
      </c>
      <c r="I156" s="117">
        <f>0.72*1.08*1.06</f>
        <v>0.8242560000000001</v>
      </c>
      <c r="J156" s="112">
        <f t="shared" si="5"/>
        <v>0.8654688000000001</v>
      </c>
      <c r="K156" s="16"/>
    </row>
    <row r="157" spans="1:11" ht="12.75">
      <c r="A157" s="26" t="s">
        <v>521</v>
      </c>
      <c r="B157" s="26" t="s">
        <v>522</v>
      </c>
      <c r="C157" s="4" t="s">
        <v>349</v>
      </c>
      <c r="D157" s="1">
        <v>34200</v>
      </c>
      <c r="E157" s="1"/>
      <c r="F157" s="1">
        <v>2460</v>
      </c>
      <c r="G157" s="1"/>
      <c r="H157" s="49">
        <f t="shared" si="6"/>
        <v>1390.2439024390244</v>
      </c>
      <c r="I157" s="117">
        <f>0.6*1.08*1.06</f>
        <v>0.68688</v>
      </c>
      <c r="J157" s="112">
        <f t="shared" si="5"/>
        <v>0.7212240000000001</v>
      </c>
      <c r="K157" s="16"/>
    </row>
    <row r="158" spans="1:11" ht="12.75">
      <c r="A158" s="26" t="s">
        <v>523</v>
      </c>
      <c r="B158" s="26" t="s">
        <v>524</v>
      </c>
      <c r="C158" s="4" t="s">
        <v>349</v>
      </c>
      <c r="D158" s="1">
        <v>10260</v>
      </c>
      <c r="E158" s="1"/>
      <c r="F158" s="1">
        <v>3200</v>
      </c>
      <c r="G158" s="1"/>
      <c r="H158" s="49">
        <f t="shared" si="6"/>
        <v>320.625</v>
      </c>
      <c r="I158" s="117">
        <f>0.77*1.08*1.06</f>
        <v>0.8814960000000002</v>
      </c>
      <c r="J158" s="112">
        <f t="shared" si="5"/>
        <v>0.9255708000000002</v>
      </c>
      <c r="K158" s="16"/>
    </row>
    <row r="159" spans="1:11" ht="12.75">
      <c r="A159" s="26" t="s">
        <v>525</v>
      </c>
      <c r="B159" s="26" t="s">
        <v>526</v>
      </c>
      <c r="C159" s="4" t="s">
        <v>349</v>
      </c>
      <c r="D159" s="1">
        <v>13680</v>
      </c>
      <c r="E159" s="1"/>
      <c r="F159" s="1">
        <v>3210</v>
      </c>
      <c r="G159" s="1"/>
      <c r="H159" s="49">
        <f t="shared" si="6"/>
        <v>426.1682242990654</v>
      </c>
      <c r="I159" s="117">
        <f>0.77*1.08*1.06</f>
        <v>0.8814960000000002</v>
      </c>
      <c r="J159" s="112">
        <f t="shared" si="5"/>
        <v>0.9255708000000002</v>
      </c>
      <c r="K159" s="16"/>
    </row>
    <row r="160" spans="1:11" ht="12.75">
      <c r="A160" s="26" t="s">
        <v>527</v>
      </c>
      <c r="B160" s="26" t="s">
        <v>528</v>
      </c>
      <c r="C160" s="4" t="s">
        <v>349</v>
      </c>
      <c r="D160" s="1">
        <v>13680</v>
      </c>
      <c r="E160" s="1"/>
      <c r="F160" s="1">
        <v>2000</v>
      </c>
      <c r="G160" s="1"/>
      <c r="H160" s="49">
        <f t="shared" si="6"/>
        <v>684</v>
      </c>
      <c r="I160" s="117">
        <f>0.49*1.08*1.06</f>
        <v>0.560952</v>
      </c>
      <c r="J160" s="112">
        <f t="shared" si="5"/>
        <v>0.5889996000000001</v>
      </c>
      <c r="K160" s="16"/>
    </row>
    <row r="161" spans="1:11" ht="22.5" customHeight="1">
      <c r="A161" s="26" t="s">
        <v>529</v>
      </c>
      <c r="B161" s="26" t="s">
        <v>530</v>
      </c>
      <c r="C161" s="87" t="s">
        <v>349</v>
      </c>
      <c r="D161" s="1">
        <v>20520</v>
      </c>
      <c r="E161" s="1"/>
      <c r="F161" s="1">
        <v>3000</v>
      </c>
      <c r="G161" s="1"/>
      <c r="H161" s="49">
        <f t="shared" si="6"/>
        <v>684</v>
      </c>
      <c r="I161" s="118">
        <f>0.73*1.08*1.06</f>
        <v>0.835704</v>
      </c>
      <c r="J161" s="112">
        <f t="shared" si="5"/>
        <v>0.8774892000000001</v>
      </c>
      <c r="K161" s="16"/>
    </row>
    <row r="162" spans="1:11" ht="12.75">
      <c r="A162" s="26" t="s">
        <v>531</v>
      </c>
      <c r="B162" s="26" t="s">
        <v>532</v>
      </c>
      <c r="C162" s="4" t="s">
        <v>349</v>
      </c>
      <c r="D162" s="1">
        <v>23940</v>
      </c>
      <c r="E162" s="1"/>
      <c r="F162" s="1">
        <v>5340</v>
      </c>
      <c r="G162" s="1"/>
      <c r="H162" s="49">
        <f t="shared" si="6"/>
        <v>448.314606741573</v>
      </c>
      <c r="I162" s="117">
        <f>1.3*1.08*1.06</f>
        <v>1.4882400000000002</v>
      </c>
      <c r="J162" s="112">
        <f t="shared" si="5"/>
        <v>1.5626520000000004</v>
      </c>
      <c r="K162" s="16"/>
    </row>
    <row r="163" spans="1:11" ht="12.75">
      <c r="A163" s="26" t="s">
        <v>533</v>
      </c>
      <c r="B163" s="26" t="s">
        <v>534</v>
      </c>
      <c r="C163" s="4" t="s">
        <v>349</v>
      </c>
      <c r="D163" s="1">
        <v>30780</v>
      </c>
      <c r="E163" s="1"/>
      <c r="F163" s="1">
        <v>7470</v>
      </c>
      <c r="G163" s="1"/>
      <c r="H163" s="49">
        <f t="shared" si="6"/>
        <v>412.0481927710843</v>
      </c>
      <c r="I163" s="117">
        <f>1.81*1.08*1.06</f>
        <v>2.0720880000000004</v>
      </c>
      <c r="J163" s="112">
        <f t="shared" si="5"/>
        <v>2.1756924000000004</v>
      </c>
      <c r="K163" s="16"/>
    </row>
    <row r="164" spans="1:11" ht="12.75">
      <c r="A164" s="26" t="s">
        <v>535</v>
      </c>
      <c r="B164" s="26" t="s">
        <v>536</v>
      </c>
      <c r="C164" s="4" t="s">
        <v>349</v>
      </c>
      <c r="D164" s="1">
        <v>13680</v>
      </c>
      <c r="E164" s="1"/>
      <c r="F164" s="1">
        <v>2010</v>
      </c>
      <c r="G164" s="1"/>
      <c r="H164" s="49">
        <f t="shared" si="6"/>
        <v>680.5970149253732</v>
      </c>
      <c r="I164" s="117">
        <f>0.49*1.08*1.06</f>
        <v>0.560952</v>
      </c>
      <c r="J164" s="112">
        <f t="shared" si="5"/>
        <v>0.5889996000000001</v>
      </c>
      <c r="K164" s="16"/>
    </row>
    <row r="165" spans="1:11" ht="12.75">
      <c r="A165" s="26" t="s">
        <v>537</v>
      </c>
      <c r="B165" s="26" t="s">
        <v>538</v>
      </c>
      <c r="C165" s="4" t="s">
        <v>349</v>
      </c>
      <c r="D165" s="1">
        <v>17100</v>
      </c>
      <c r="E165" s="1"/>
      <c r="F165" s="1">
        <v>1000</v>
      </c>
      <c r="G165" s="1"/>
      <c r="H165" s="49">
        <f t="shared" si="6"/>
        <v>1710.0000000000002</v>
      </c>
      <c r="I165" s="117">
        <f>0.24*1.08*1.06</f>
        <v>0.274752</v>
      </c>
      <c r="J165" s="112">
        <f t="shared" si="5"/>
        <v>0.2884896</v>
      </c>
      <c r="K165" s="16"/>
    </row>
    <row r="166" spans="1:11" ht="12.75">
      <c r="A166" s="26" t="s">
        <v>539</v>
      </c>
      <c r="B166" s="26" t="s">
        <v>540</v>
      </c>
      <c r="C166" s="4" t="s">
        <v>349</v>
      </c>
      <c r="D166" s="1">
        <v>17100</v>
      </c>
      <c r="E166" s="1"/>
      <c r="F166" s="1">
        <v>2520</v>
      </c>
      <c r="G166" s="1"/>
      <c r="H166" s="49">
        <f t="shared" si="6"/>
        <v>678.5714285714286</v>
      </c>
      <c r="I166" s="117">
        <f>0.61*1.08*1.06</f>
        <v>0.6983280000000001</v>
      </c>
      <c r="J166" s="112">
        <f t="shared" si="5"/>
        <v>0.7332444000000001</v>
      </c>
      <c r="K166" s="16"/>
    </row>
    <row r="167" spans="1:11" ht="12.75">
      <c r="A167" s="26" t="s">
        <v>541</v>
      </c>
      <c r="B167" s="26" t="s">
        <v>542</v>
      </c>
      <c r="C167" s="4" t="s">
        <v>349</v>
      </c>
      <c r="D167" s="1">
        <v>10950</v>
      </c>
      <c r="E167" s="1"/>
      <c r="F167" s="1">
        <v>1250</v>
      </c>
      <c r="G167" s="1"/>
      <c r="H167" s="49">
        <f t="shared" si="6"/>
        <v>876</v>
      </c>
      <c r="I167" s="117">
        <f>0.3*1.08*1.06</f>
        <v>0.34344</v>
      </c>
      <c r="J167" s="112">
        <f t="shared" si="5"/>
        <v>0.36061200000000004</v>
      </c>
      <c r="K167" s="16"/>
    </row>
    <row r="168" spans="1:11" ht="38.25">
      <c r="A168" s="26" t="s">
        <v>543</v>
      </c>
      <c r="B168" s="26" t="s">
        <v>544</v>
      </c>
      <c r="C168" s="87" t="s">
        <v>349</v>
      </c>
      <c r="D168" s="1">
        <v>17100</v>
      </c>
      <c r="E168" s="1"/>
      <c r="F168" s="1">
        <v>1250</v>
      </c>
      <c r="G168" s="1"/>
      <c r="H168" s="49">
        <f t="shared" si="6"/>
        <v>1368</v>
      </c>
      <c r="I168" s="118">
        <f>0.3*1.08*1.06</f>
        <v>0.34344</v>
      </c>
      <c r="J168" s="112">
        <f t="shared" si="5"/>
        <v>0.36061200000000004</v>
      </c>
      <c r="K168" s="16"/>
    </row>
    <row r="169" spans="1:11" ht="11.25" customHeight="1">
      <c r="A169" s="26" t="s">
        <v>545</v>
      </c>
      <c r="B169" s="26" t="s">
        <v>546</v>
      </c>
      <c r="C169" s="4" t="s">
        <v>349</v>
      </c>
      <c r="D169" s="1">
        <v>3420</v>
      </c>
      <c r="E169" s="1"/>
      <c r="F169" s="1">
        <v>1250</v>
      </c>
      <c r="G169" s="1"/>
      <c r="H169" s="49">
        <f t="shared" si="6"/>
        <v>273.6</v>
      </c>
      <c r="I169" s="117">
        <f>0.3*1.08*1.06</f>
        <v>0.34344</v>
      </c>
      <c r="J169" s="112">
        <f t="shared" si="5"/>
        <v>0.36061200000000004</v>
      </c>
      <c r="K169" s="16"/>
    </row>
    <row r="170" spans="1:11" ht="21.75" customHeight="1">
      <c r="A170" s="26" t="s">
        <v>547</v>
      </c>
      <c r="B170" s="26" t="s">
        <v>548</v>
      </c>
      <c r="C170" s="87" t="s">
        <v>349</v>
      </c>
      <c r="D170" s="1">
        <v>13680</v>
      </c>
      <c r="E170" s="1"/>
      <c r="F170" s="1">
        <v>0</v>
      </c>
      <c r="G170" s="1"/>
      <c r="H170" s="49">
        <v>0</v>
      </c>
      <c r="I170" s="118">
        <f>2.74*1.08*1.06</f>
        <v>3.136752000000001</v>
      </c>
      <c r="J170" s="112">
        <f t="shared" si="5"/>
        <v>3.293589600000001</v>
      </c>
      <c r="K170" s="16"/>
    </row>
    <row r="171" spans="1:11" ht="12.75">
      <c r="A171" s="26" t="s">
        <v>549</v>
      </c>
      <c r="B171" s="26" t="s">
        <v>550</v>
      </c>
      <c r="C171" s="4" t="s">
        <v>349</v>
      </c>
      <c r="D171" s="1">
        <v>30780</v>
      </c>
      <c r="E171" s="1"/>
      <c r="F171" s="1">
        <v>0</v>
      </c>
      <c r="G171" s="1"/>
      <c r="H171" s="49">
        <v>0</v>
      </c>
      <c r="I171" s="117">
        <f>6.17*1.08*1.06</f>
        <v>7.063416000000001</v>
      </c>
      <c r="J171" s="112">
        <f t="shared" si="5"/>
        <v>7.416586800000001</v>
      </c>
      <c r="K171" s="16"/>
    </row>
    <row r="172" spans="1:11" ht="12.75">
      <c r="A172" s="26" t="s">
        <v>551</v>
      </c>
      <c r="B172" s="26" t="s">
        <v>139</v>
      </c>
      <c r="C172" s="4" t="s">
        <v>349</v>
      </c>
      <c r="D172" s="1">
        <v>13680</v>
      </c>
      <c r="E172" s="1"/>
      <c r="F172" s="1">
        <v>2700</v>
      </c>
      <c r="G172" s="1"/>
      <c r="H172" s="49">
        <f t="shared" si="6"/>
        <v>506.66666666666663</v>
      </c>
      <c r="I172" s="117">
        <f>0.66*1.08*1.06</f>
        <v>0.7555680000000001</v>
      </c>
      <c r="J172" s="112">
        <f t="shared" si="5"/>
        <v>0.7933464000000001</v>
      </c>
      <c r="K172" s="16"/>
    </row>
    <row r="173" spans="1:11" ht="12.75">
      <c r="A173" s="26" t="s">
        <v>552</v>
      </c>
      <c r="B173" s="26" t="s">
        <v>141</v>
      </c>
      <c r="C173" s="4" t="s">
        <v>349</v>
      </c>
      <c r="D173" s="1">
        <v>27360</v>
      </c>
      <c r="E173" s="1"/>
      <c r="F173" s="1">
        <v>9800</v>
      </c>
      <c r="G173" s="1"/>
      <c r="H173" s="49">
        <f t="shared" si="6"/>
        <v>279.18367346938777</v>
      </c>
      <c r="I173" s="117">
        <f>2.38*1.08*1.06</f>
        <v>2.7246240000000004</v>
      </c>
      <c r="J173" s="112">
        <f t="shared" si="5"/>
        <v>2.8608552000000005</v>
      </c>
      <c r="K173" s="16"/>
    </row>
    <row r="174" spans="1:11" ht="12.75">
      <c r="A174" s="26" t="s">
        <v>553</v>
      </c>
      <c r="B174" s="26" t="s">
        <v>554</v>
      </c>
      <c r="C174" s="4" t="s">
        <v>349</v>
      </c>
      <c r="D174" s="1">
        <v>13680</v>
      </c>
      <c r="E174" s="1"/>
      <c r="F174" s="1">
        <v>1050</v>
      </c>
      <c r="G174" s="1"/>
      <c r="H174" s="49">
        <f t="shared" si="6"/>
        <v>1302.857142857143</v>
      </c>
      <c r="I174" s="117">
        <f>0.26*1.08*1.06</f>
        <v>0.2976480000000001</v>
      </c>
      <c r="J174" s="112">
        <f aca="true" t="shared" si="7" ref="J174:J205">I174*1.05</f>
        <v>0.3125304000000001</v>
      </c>
      <c r="K174" s="16"/>
    </row>
    <row r="175" spans="1:11" ht="12.75">
      <c r="A175" s="26" t="s">
        <v>555</v>
      </c>
      <c r="B175" s="26" t="s">
        <v>143</v>
      </c>
      <c r="C175" s="4" t="s">
        <v>349</v>
      </c>
      <c r="D175" s="1">
        <v>13680</v>
      </c>
      <c r="E175" s="1"/>
      <c r="F175" s="1">
        <v>2750</v>
      </c>
      <c r="G175" s="1"/>
      <c r="H175" s="49">
        <f t="shared" si="6"/>
        <v>497.45454545454544</v>
      </c>
      <c r="I175" s="117">
        <f>0.67*1.08*1.06</f>
        <v>0.7670160000000001</v>
      </c>
      <c r="J175" s="112">
        <f t="shared" si="7"/>
        <v>0.8053668000000002</v>
      </c>
      <c r="K175" s="16"/>
    </row>
    <row r="176" spans="1:11" ht="12.75">
      <c r="A176" s="26" t="s">
        <v>556</v>
      </c>
      <c r="B176" s="26" t="s">
        <v>149</v>
      </c>
      <c r="C176" s="4" t="s">
        <v>349</v>
      </c>
      <c r="D176" s="1">
        <v>20520</v>
      </c>
      <c r="E176" s="1"/>
      <c r="F176" s="1">
        <v>1050</v>
      </c>
      <c r="G176" s="1"/>
      <c r="H176" s="49">
        <f t="shared" si="6"/>
        <v>1954.2857142857144</v>
      </c>
      <c r="I176" s="117">
        <f>0.26*1.08*1.06</f>
        <v>0.2976480000000001</v>
      </c>
      <c r="J176" s="112">
        <f t="shared" si="7"/>
        <v>0.3125304000000001</v>
      </c>
      <c r="K176" s="16"/>
    </row>
    <row r="177" spans="1:11" ht="12.75">
      <c r="A177" s="26" t="s">
        <v>557</v>
      </c>
      <c r="B177" s="26" t="s">
        <v>151</v>
      </c>
      <c r="C177" s="4" t="s">
        <v>349</v>
      </c>
      <c r="D177" s="1">
        <v>20520</v>
      </c>
      <c r="E177" s="1"/>
      <c r="F177" s="1">
        <v>1900</v>
      </c>
      <c r="G177" s="1"/>
      <c r="H177" s="49">
        <f t="shared" si="6"/>
        <v>1080</v>
      </c>
      <c r="I177" s="117">
        <f>0.46*1.08*1.06</f>
        <v>0.5266080000000001</v>
      </c>
      <c r="J177" s="112">
        <f t="shared" si="7"/>
        <v>0.5529384</v>
      </c>
      <c r="K177" s="16"/>
    </row>
    <row r="178" spans="1:11" ht="12.75">
      <c r="A178" s="26" t="s">
        <v>558</v>
      </c>
      <c r="B178" s="26" t="s">
        <v>559</v>
      </c>
      <c r="C178" s="4" t="s">
        <v>349</v>
      </c>
      <c r="D178" s="1">
        <v>27360</v>
      </c>
      <c r="E178" s="1"/>
      <c r="F178" s="1">
        <v>3800</v>
      </c>
      <c r="G178" s="1"/>
      <c r="H178" s="49">
        <f t="shared" si="6"/>
        <v>720</v>
      </c>
      <c r="I178" s="117">
        <f>0.92*1.08*1.06</f>
        <v>1.0532160000000002</v>
      </c>
      <c r="J178" s="112">
        <f t="shared" si="7"/>
        <v>1.1058768</v>
      </c>
      <c r="K178" s="16"/>
    </row>
    <row r="179" spans="1:11" ht="12.75">
      <c r="A179" s="40" t="s">
        <v>560</v>
      </c>
      <c r="B179" s="40" t="s">
        <v>179</v>
      </c>
      <c r="C179" s="4" t="s">
        <v>316</v>
      </c>
      <c r="D179" s="1">
        <v>68830</v>
      </c>
      <c r="E179" s="1"/>
      <c r="F179" s="1">
        <v>10700</v>
      </c>
      <c r="G179" s="1"/>
      <c r="H179" s="49">
        <f t="shared" si="6"/>
        <v>643.2710280373832</v>
      </c>
      <c r="I179" s="117">
        <f>2.61*1.08*1.06</f>
        <v>2.987928</v>
      </c>
      <c r="J179" s="112">
        <f t="shared" si="7"/>
        <v>3.1373244000000002</v>
      </c>
      <c r="K179" s="16"/>
    </row>
    <row r="180" spans="1:11" ht="12.75">
      <c r="A180" s="40" t="s">
        <v>561</v>
      </c>
      <c r="B180" s="40" t="s">
        <v>181</v>
      </c>
      <c r="C180" s="4" t="s">
        <v>316</v>
      </c>
      <c r="D180" s="1">
        <v>72520</v>
      </c>
      <c r="E180" s="1"/>
      <c r="F180" s="1">
        <v>11350</v>
      </c>
      <c r="G180" s="1"/>
      <c r="H180" s="49">
        <f t="shared" si="6"/>
        <v>638.9427312775331</v>
      </c>
      <c r="I180" s="117">
        <f>2.75*1.08*1.06</f>
        <v>3.1482000000000006</v>
      </c>
      <c r="J180" s="112">
        <f t="shared" si="7"/>
        <v>3.3056100000000006</v>
      </c>
      <c r="K180" s="16"/>
    </row>
    <row r="181" spans="1:11" ht="12.75">
      <c r="A181" s="40" t="s">
        <v>562</v>
      </c>
      <c r="B181" s="40" t="s">
        <v>183</v>
      </c>
      <c r="C181" s="4" t="s">
        <v>316</v>
      </c>
      <c r="D181" s="1">
        <v>75800</v>
      </c>
      <c r="E181" s="1"/>
      <c r="F181" s="1">
        <v>13300</v>
      </c>
      <c r="G181" s="1"/>
      <c r="H181" s="49">
        <f t="shared" si="6"/>
        <v>569.9248120300751</v>
      </c>
      <c r="I181" s="117">
        <f>3.44*1.08*1.06</f>
        <v>3.9381120000000003</v>
      </c>
      <c r="J181" s="112">
        <f t="shared" si="7"/>
        <v>4.1350176</v>
      </c>
      <c r="K181" s="16"/>
    </row>
    <row r="182" spans="1:11" ht="12.75">
      <c r="A182" s="40" t="s">
        <v>563</v>
      </c>
      <c r="B182" s="40" t="s">
        <v>185</v>
      </c>
      <c r="C182" s="4" t="s">
        <v>316</v>
      </c>
      <c r="D182" s="1">
        <v>79480</v>
      </c>
      <c r="E182" s="1"/>
      <c r="F182" s="1">
        <v>14200</v>
      </c>
      <c r="G182" s="1"/>
      <c r="H182" s="49">
        <f t="shared" si="6"/>
        <v>559.7183098591549</v>
      </c>
      <c r="I182" s="117">
        <f>3.44*1.08*1.06</f>
        <v>3.9381120000000003</v>
      </c>
      <c r="J182" s="112">
        <f t="shared" si="7"/>
        <v>4.1350176</v>
      </c>
      <c r="K182" s="16"/>
    </row>
    <row r="183" spans="1:11" ht="12.75">
      <c r="A183" s="40" t="s">
        <v>564</v>
      </c>
      <c r="B183" s="40" t="s">
        <v>187</v>
      </c>
      <c r="C183" s="4" t="s">
        <v>316</v>
      </c>
      <c r="D183" s="1">
        <v>82760</v>
      </c>
      <c r="E183" s="1"/>
      <c r="F183" s="1">
        <v>16550</v>
      </c>
      <c r="G183" s="1"/>
      <c r="H183" s="49">
        <f t="shared" si="6"/>
        <v>500.0604229607251</v>
      </c>
      <c r="I183" s="117">
        <f>4.01*1.08*1.06</f>
        <v>4.590648</v>
      </c>
      <c r="J183" s="112">
        <f t="shared" si="7"/>
        <v>4.8201804</v>
      </c>
      <c r="K183" s="16"/>
    </row>
    <row r="184" spans="1:11" ht="12.75">
      <c r="A184" s="40" t="s">
        <v>565</v>
      </c>
      <c r="B184" s="40" t="s">
        <v>189</v>
      </c>
      <c r="C184" s="4" t="s">
        <v>316</v>
      </c>
      <c r="D184" s="1">
        <v>86450</v>
      </c>
      <c r="E184" s="1"/>
      <c r="F184" s="1">
        <v>17350</v>
      </c>
      <c r="G184" s="1"/>
      <c r="H184" s="49">
        <f t="shared" si="6"/>
        <v>498.27089337175795</v>
      </c>
      <c r="I184" s="117">
        <f>4.21*1.08*1.06</f>
        <v>4.819608000000001</v>
      </c>
      <c r="J184" s="112">
        <f t="shared" si="7"/>
        <v>5.060588400000001</v>
      </c>
      <c r="K184" s="16"/>
    </row>
    <row r="185" spans="1:11" ht="12.75">
      <c r="A185" s="40" t="s">
        <v>566</v>
      </c>
      <c r="B185" s="40" t="s">
        <v>191</v>
      </c>
      <c r="C185" s="4" t="s">
        <v>316</v>
      </c>
      <c r="D185" s="1">
        <v>91780</v>
      </c>
      <c r="E185" s="1"/>
      <c r="F185" s="1">
        <v>18100</v>
      </c>
      <c r="G185" s="1"/>
      <c r="H185" s="49">
        <f t="shared" si="6"/>
        <v>507.0718232044199</v>
      </c>
      <c r="I185" s="117">
        <f>4.41*1.08*1.06</f>
        <v>5.048568</v>
      </c>
      <c r="J185" s="112">
        <f t="shared" si="7"/>
        <v>5.300996400000001</v>
      </c>
      <c r="K185" s="16"/>
    </row>
    <row r="186" spans="1:11" ht="12.75">
      <c r="A186" s="40" t="s">
        <v>567</v>
      </c>
      <c r="B186" s="40" t="s">
        <v>193</v>
      </c>
      <c r="C186" s="4" t="s">
        <v>316</v>
      </c>
      <c r="D186" s="1">
        <v>96690</v>
      </c>
      <c r="E186" s="1"/>
      <c r="F186" s="1">
        <v>18900</v>
      </c>
      <c r="G186" s="1"/>
      <c r="H186" s="49">
        <f t="shared" si="6"/>
        <v>511.58730158730157</v>
      </c>
      <c r="I186" s="117">
        <f>4.61*1.08*1.06</f>
        <v>5.277528000000001</v>
      </c>
      <c r="J186" s="112">
        <f t="shared" si="7"/>
        <v>5.541404400000001</v>
      </c>
      <c r="K186" s="16"/>
    </row>
    <row r="187" spans="1:11" ht="12.75">
      <c r="A187" s="40" t="s">
        <v>568</v>
      </c>
      <c r="B187" s="40" t="s">
        <v>195</v>
      </c>
      <c r="C187" s="4" t="s">
        <v>316</v>
      </c>
      <c r="D187" s="1">
        <v>102020</v>
      </c>
      <c r="E187" s="1"/>
      <c r="F187" s="1">
        <v>19450</v>
      </c>
      <c r="G187" s="1"/>
      <c r="H187" s="49">
        <f t="shared" si="6"/>
        <v>524.5244215938303</v>
      </c>
      <c r="I187" s="117">
        <f>4.72*1.08*1.06</f>
        <v>5.403456</v>
      </c>
      <c r="J187" s="112">
        <f t="shared" si="7"/>
        <v>5.6736288</v>
      </c>
      <c r="K187" s="16"/>
    </row>
    <row r="188" spans="1:11" ht="12.75">
      <c r="A188" s="40" t="s">
        <v>569</v>
      </c>
      <c r="B188" s="40" t="s">
        <v>197</v>
      </c>
      <c r="C188" s="4" t="s">
        <v>316</v>
      </c>
      <c r="D188" s="1">
        <v>107350</v>
      </c>
      <c r="E188" s="1"/>
      <c r="F188" s="1">
        <v>19600</v>
      </c>
      <c r="G188" s="1"/>
      <c r="H188" s="49">
        <f t="shared" si="6"/>
        <v>547.704081632653</v>
      </c>
      <c r="I188" s="117">
        <f>4.75*1.08*1.06</f>
        <v>5.437800000000001</v>
      </c>
      <c r="J188" s="112">
        <f t="shared" si="7"/>
        <v>5.709690000000001</v>
      </c>
      <c r="K188" s="16"/>
    </row>
    <row r="189" spans="1:11" ht="12.75">
      <c r="A189" s="40" t="s">
        <v>570</v>
      </c>
      <c r="B189" s="40" t="s">
        <v>199</v>
      </c>
      <c r="C189" s="4" t="s">
        <v>316</v>
      </c>
      <c r="D189" s="1">
        <v>112670</v>
      </c>
      <c r="E189" s="1"/>
      <c r="F189" s="1">
        <v>19450</v>
      </c>
      <c r="G189" s="1"/>
      <c r="H189" s="49">
        <f t="shared" si="6"/>
        <v>579.280205655527</v>
      </c>
      <c r="I189" s="117">
        <f>4.72*1.08*1.06</f>
        <v>5.403456</v>
      </c>
      <c r="J189" s="112">
        <f t="shared" si="7"/>
        <v>5.6736288</v>
      </c>
      <c r="K189" s="16"/>
    </row>
    <row r="190" spans="1:11" ht="12.75">
      <c r="A190" s="40" t="s">
        <v>571</v>
      </c>
      <c r="B190" s="40" t="s">
        <v>201</v>
      </c>
      <c r="C190" s="4" t="s">
        <v>316</v>
      </c>
      <c r="D190" s="1">
        <v>117590</v>
      </c>
      <c r="E190" s="1"/>
      <c r="F190" s="1">
        <v>20200</v>
      </c>
      <c r="G190" s="1"/>
      <c r="H190" s="49">
        <f t="shared" si="6"/>
        <v>582.1287128712871</v>
      </c>
      <c r="I190" s="117">
        <f>4.9*1.08*1.06</f>
        <v>5.609520000000001</v>
      </c>
      <c r="J190" s="112">
        <f t="shared" si="7"/>
        <v>5.889996000000001</v>
      </c>
      <c r="K190" s="16"/>
    </row>
    <row r="191" spans="1:11" ht="12.75">
      <c r="A191" s="40" t="s">
        <v>572</v>
      </c>
      <c r="B191" s="40" t="s">
        <v>203</v>
      </c>
      <c r="C191" s="4" t="s">
        <v>316</v>
      </c>
      <c r="D191" s="1">
        <v>122910</v>
      </c>
      <c r="E191" s="1"/>
      <c r="F191" s="1">
        <v>20900</v>
      </c>
      <c r="G191" s="1"/>
      <c r="H191" s="49">
        <f t="shared" si="6"/>
        <v>588.0861244019138</v>
      </c>
      <c r="I191" s="117">
        <f>5.07*1.08*1.06</f>
        <v>5.8041360000000015</v>
      </c>
      <c r="J191" s="112">
        <f t="shared" si="7"/>
        <v>6.0943428000000015</v>
      </c>
      <c r="K191" s="16"/>
    </row>
    <row r="192" spans="1:11" ht="12.75">
      <c r="A192" s="40" t="s">
        <v>573</v>
      </c>
      <c r="B192" s="40" t="s">
        <v>205</v>
      </c>
      <c r="C192" s="4" t="s">
        <v>316</v>
      </c>
      <c r="D192" s="1">
        <v>128240</v>
      </c>
      <c r="E192" s="1"/>
      <c r="F192" s="1">
        <v>21700</v>
      </c>
      <c r="G192" s="1"/>
      <c r="H192" s="49">
        <f t="shared" si="6"/>
        <v>590.9677419354839</v>
      </c>
      <c r="I192" s="117">
        <f>5.26*1.08*1.06</f>
        <v>6.021648000000001</v>
      </c>
      <c r="J192" s="112">
        <f t="shared" si="7"/>
        <v>6.322730400000001</v>
      </c>
      <c r="K192" s="16"/>
    </row>
    <row r="193" spans="1:11" ht="12.75">
      <c r="A193" s="40" t="s">
        <v>574</v>
      </c>
      <c r="B193" s="40" t="s">
        <v>207</v>
      </c>
      <c r="C193" s="4" t="s">
        <v>316</v>
      </c>
      <c r="D193" s="1">
        <v>136030</v>
      </c>
      <c r="E193" s="1"/>
      <c r="F193" s="1">
        <v>31200</v>
      </c>
      <c r="G193" s="1"/>
      <c r="H193" s="49">
        <f t="shared" si="6"/>
        <v>435.9935897435897</v>
      </c>
      <c r="I193" s="117">
        <f>7.56*1.08*1.06</f>
        <v>8.654688</v>
      </c>
      <c r="J193" s="112">
        <f t="shared" si="7"/>
        <v>9.087422400000001</v>
      </c>
      <c r="K193" s="16"/>
    </row>
    <row r="194" spans="1:11" ht="12.75">
      <c r="A194" s="41" t="s">
        <v>575</v>
      </c>
      <c r="B194" s="40" t="s">
        <v>209</v>
      </c>
      <c r="C194" s="4" t="s">
        <v>349</v>
      </c>
      <c r="D194" s="1">
        <v>27860</v>
      </c>
      <c r="E194" s="1"/>
      <c r="F194" s="1">
        <v>6550</v>
      </c>
      <c r="G194" s="1"/>
      <c r="H194" s="49">
        <f t="shared" si="6"/>
        <v>425.3435114503817</v>
      </c>
      <c r="I194" s="117">
        <f>1.59*1.08*1.06</f>
        <v>1.8202320000000003</v>
      </c>
      <c r="J194" s="112">
        <f t="shared" si="7"/>
        <v>1.9112436000000004</v>
      </c>
      <c r="K194" s="16"/>
    </row>
    <row r="195" spans="1:11" ht="12.75">
      <c r="A195" s="40" t="s">
        <v>576</v>
      </c>
      <c r="B195" s="40" t="s">
        <v>211</v>
      </c>
      <c r="C195" s="4" t="s">
        <v>349</v>
      </c>
      <c r="D195" s="1">
        <v>31550</v>
      </c>
      <c r="E195" s="1"/>
      <c r="F195" s="1">
        <v>7350</v>
      </c>
      <c r="G195" s="1"/>
      <c r="H195" s="49">
        <f t="shared" si="6"/>
        <v>429.2517006802721</v>
      </c>
      <c r="I195" s="117">
        <f>1.78*1.08*1.06</f>
        <v>2.037744</v>
      </c>
      <c r="J195" s="112">
        <f t="shared" si="7"/>
        <v>2.1396312</v>
      </c>
      <c r="K195" s="16"/>
    </row>
    <row r="196" spans="1:11" ht="12.75">
      <c r="A196" s="40" t="s">
        <v>577</v>
      </c>
      <c r="B196" s="40" t="s">
        <v>213</v>
      </c>
      <c r="C196" s="4" t="s">
        <v>349</v>
      </c>
      <c r="D196" s="1">
        <v>34830</v>
      </c>
      <c r="E196" s="1"/>
      <c r="F196" s="1">
        <v>8200</v>
      </c>
      <c r="G196" s="1"/>
      <c r="H196" s="49">
        <f t="shared" si="6"/>
        <v>424.75609756097566</v>
      </c>
      <c r="I196" s="117">
        <f>1.99*1.08*1.06</f>
        <v>2.278152</v>
      </c>
      <c r="J196" s="112">
        <f t="shared" si="7"/>
        <v>2.3920596</v>
      </c>
      <c r="K196" s="16"/>
    </row>
    <row r="197" spans="1:11" ht="12.75">
      <c r="A197" s="40" t="s">
        <v>578</v>
      </c>
      <c r="B197" s="40" t="s">
        <v>215</v>
      </c>
      <c r="C197" s="4" t="s">
        <v>349</v>
      </c>
      <c r="D197" s="1">
        <v>38510</v>
      </c>
      <c r="E197" s="1"/>
      <c r="F197" s="1">
        <v>9000</v>
      </c>
      <c r="G197" s="1"/>
      <c r="H197" s="49">
        <f t="shared" si="6"/>
        <v>427.8888888888889</v>
      </c>
      <c r="I197" s="117">
        <f>2.18*1.08*1.06</f>
        <v>2.4956640000000005</v>
      </c>
      <c r="J197" s="112">
        <f t="shared" si="7"/>
        <v>2.6204472000000005</v>
      </c>
      <c r="K197" s="16"/>
    </row>
    <row r="198" spans="1:11" ht="12.75">
      <c r="A198" s="40" t="s">
        <v>579</v>
      </c>
      <c r="B198" s="40" t="s">
        <v>217</v>
      </c>
      <c r="C198" s="4" t="s">
        <v>316</v>
      </c>
      <c r="D198" s="1">
        <v>79080</v>
      </c>
      <c r="E198" s="1"/>
      <c r="F198" s="1">
        <v>10150</v>
      </c>
      <c r="G198" s="1"/>
      <c r="H198" s="49">
        <f t="shared" si="6"/>
        <v>779.1133004926108</v>
      </c>
      <c r="I198" s="117">
        <f>2.46*1.08*1.06</f>
        <v>2.816208</v>
      </c>
      <c r="J198" s="112">
        <f t="shared" si="7"/>
        <v>2.9570184000000004</v>
      </c>
      <c r="K198" s="16"/>
    </row>
    <row r="199" spans="1:11" ht="12.75">
      <c r="A199" s="40" t="s">
        <v>580</v>
      </c>
      <c r="B199" s="40" t="s">
        <v>219</v>
      </c>
      <c r="C199" s="4" t="s">
        <v>316</v>
      </c>
      <c r="D199" s="1">
        <v>31550</v>
      </c>
      <c r="E199" s="1"/>
      <c r="F199" s="1">
        <v>7650</v>
      </c>
      <c r="G199" s="1"/>
      <c r="H199" s="49">
        <f t="shared" si="6"/>
        <v>412.4183006535947</v>
      </c>
      <c r="I199" s="117">
        <f>1.86*1.08*1.06</f>
        <v>2.1293280000000006</v>
      </c>
      <c r="J199" s="112">
        <f t="shared" si="7"/>
        <v>2.2357944000000005</v>
      </c>
      <c r="K199" s="16"/>
    </row>
    <row r="200" spans="1:11" ht="12.75">
      <c r="A200" s="40" t="s">
        <v>581</v>
      </c>
      <c r="B200" s="40" t="s">
        <v>221</v>
      </c>
      <c r="C200" s="4" t="s">
        <v>316</v>
      </c>
      <c r="D200" s="1">
        <v>5330</v>
      </c>
      <c r="E200" s="1"/>
      <c r="F200" s="1">
        <v>900</v>
      </c>
      <c r="G200" s="1"/>
      <c r="H200" s="49">
        <f t="shared" si="6"/>
        <v>592.2222222222223</v>
      </c>
      <c r="I200" s="117">
        <f>0.22*1.08*1.06</f>
        <v>0.251856</v>
      </c>
      <c r="J200" s="112">
        <f t="shared" si="7"/>
        <v>0.26444880000000004</v>
      </c>
      <c r="K200" s="16"/>
    </row>
    <row r="201" spans="1:11" ht="12.75">
      <c r="A201" s="40" t="s">
        <v>582</v>
      </c>
      <c r="B201" s="40" t="s">
        <v>583</v>
      </c>
      <c r="C201" s="4" t="s">
        <v>316</v>
      </c>
      <c r="D201" s="1">
        <v>67190</v>
      </c>
      <c r="E201" s="1"/>
      <c r="F201" s="1">
        <v>15140</v>
      </c>
      <c r="G201" s="1"/>
      <c r="H201" s="49">
        <f t="shared" si="6"/>
        <v>443.7912813738441</v>
      </c>
      <c r="I201" s="117">
        <f>3.67*1.08*1.06</f>
        <v>4.201416</v>
      </c>
      <c r="J201" s="112">
        <f t="shared" si="7"/>
        <v>4.4114868000000005</v>
      </c>
      <c r="K201" s="16"/>
    </row>
    <row r="202" spans="1:11" ht="12.75">
      <c r="A202" s="40" t="s">
        <v>584</v>
      </c>
      <c r="B202" s="40" t="s">
        <v>585</v>
      </c>
      <c r="C202" s="4" t="s">
        <v>316</v>
      </c>
      <c r="D202" s="1">
        <v>48760</v>
      </c>
      <c r="E202" s="1"/>
      <c r="F202" s="1">
        <v>13250</v>
      </c>
      <c r="G202" s="1"/>
      <c r="H202" s="49">
        <f t="shared" si="6"/>
        <v>368</v>
      </c>
      <c r="I202" s="117">
        <f>3.21*1.08*1.06</f>
        <v>3.674808</v>
      </c>
      <c r="J202" s="112">
        <f t="shared" si="7"/>
        <v>3.8585484</v>
      </c>
      <c r="K202" s="16"/>
    </row>
    <row r="203" spans="1:11" ht="12.75">
      <c r="A203" s="40" t="s">
        <v>586</v>
      </c>
      <c r="B203" s="40" t="s">
        <v>587</v>
      </c>
      <c r="C203" s="4" t="s">
        <v>349</v>
      </c>
      <c r="D203" s="1">
        <v>44250</v>
      </c>
      <c r="E203" s="1"/>
      <c r="F203" s="1">
        <v>8960</v>
      </c>
      <c r="G203" s="1"/>
      <c r="H203" s="49">
        <f t="shared" si="6"/>
        <v>493.8616071428571</v>
      </c>
      <c r="I203" s="117">
        <f>2.17*1.08*1.06</f>
        <v>2.484216</v>
      </c>
      <c r="J203" s="112">
        <f t="shared" si="7"/>
        <v>2.6084268</v>
      </c>
      <c r="K203" s="16"/>
    </row>
    <row r="204" spans="1:11" ht="12.75">
      <c r="A204" s="40" t="s">
        <v>588</v>
      </c>
      <c r="B204" s="40" t="s">
        <v>589</v>
      </c>
      <c r="C204" s="4" t="s">
        <v>316</v>
      </c>
      <c r="D204" s="1">
        <v>41790</v>
      </c>
      <c r="E204" s="1"/>
      <c r="F204" s="1">
        <v>15120</v>
      </c>
      <c r="G204" s="1"/>
      <c r="H204" s="49">
        <f t="shared" si="6"/>
        <v>276.38888888888886</v>
      </c>
      <c r="I204" s="117">
        <f>3.67*1.08*1.06</f>
        <v>4.201416</v>
      </c>
      <c r="J204" s="112">
        <f t="shared" si="7"/>
        <v>4.4114868000000005</v>
      </c>
      <c r="K204" s="16"/>
    </row>
    <row r="205" spans="1:11" ht="12.75">
      <c r="A205" s="40" t="s">
        <v>590</v>
      </c>
      <c r="B205" s="40" t="s">
        <v>591</v>
      </c>
      <c r="C205" s="4" t="s">
        <v>349</v>
      </c>
      <c r="D205" s="1">
        <v>12290</v>
      </c>
      <c r="E205" s="1"/>
      <c r="F205" s="1">
        <v>0</v>
      </c>
      <c r="G205" s="1"/>
      <c r="H205" s="49">
        <v>0</v>
      </c>
      <c r="I205" s="117">
        <f>2.83*1.08*1.06</f>
        <v>3.2397840000000007</v>
      </c>
      <c r="J205" s="112">
        <f t="shared" si="7"/>
        <v>3.401773200000001</v>
      </c>
      <c r="K205" s="16"/>
    </row>
    <row r="206" spans="1:11" ht="12.75">
      <c r="A206" s="40" t="s">
        <v>592</v>
      </c>
      <c r="B206" s="40" t="s">
        <v>593</v>
      </c>
      <c r="C206" s="4" t="s">
        <v>349</v>
      </c>
      <c r="D206" s="1">
        <v>20900</v>
      </c>
      <c r="E206" s="1"/>
      <c r="F206" s="1">
        <v>7650</v>
      </c>
      <c r="G206" s="1"/>
      <c r="H206" s="49">
        <f aca="true" t="shared" si="8" ref="H206:H229">D206/F206*100</f>
        <v>273.202614379085</v>
      </c>
      <c r="I206" s="117">
        <f>1.86*1.08*1.06</f>
        <v>2.1293280000000006</v>
      </c>
      <c r="J206" s="112">
        <f aca="true" t="shared" si="9" ref="J206:J229">I206*1.05</f>
        <v>2.2357944000000005</v>
      </c>
      <c r="K206" s="16"/>
    </row>
    <row r="207" spans="1:11" ht="12.75">
      <c r="A207" s="40" t="s">
        <v>594</v>
      </c>
      <c r="B207" s="40" t="s">
        <v>595</v>
      </c>
      <c r="C207" s="4" t="s">
        <v>316</v>
      </c>
      <c r="D207" s="1">
        <v>12290</v>
      </c>
      <c r="E207" s="1"/>
      <c r="F207" s="1">
        <v>0</v>
      </c>
      <c r="G207" s="1"/>
      <c r="H207" s="49">
        <v>0</v>
      </c>
      <c r="I207" s="117">
        <f>2.83*1.08*1.06</f>
        <v>3.2397840000000007</v>
      </c>
      <c r="J207" s="112">
        <f t="shared" si="9"/>
        <v>3.401773200000001</v>
      </c>
      <c r="K207" s="16"/>
    </row>
    <row r="208" spans="1:11" ht="12.75">
      <c r="A208" s="40" t="s">
        <v>596</v>
      </c>
      <c r="B208" s="40" t="s">
        <v>597</v>
      </c>
      <c r="C208" s="4" t="s">
        <v>349</v>
      </c>
      <c r="D208" s="1">
        <v>44250</v>
      </c>
      <c r="E208" s="1"/>
      <c r="F208" s="1">
        <v>8960</v>
      </c>
      <c r="G208" s="1"/>
      <c r="H208" s="49">
        <f t="shared" si="8"/>
        <v>493.8616071428571</v>
      </c>
      <c r="I208" s="117">
        <f>2.17*1.08*1.06</f>
        <v>2.484216</v>
      </c>
      <c r="J208" s="112">
        <f t="shared" si="9"/>
        <v>2.6084268</v>
      </c>
      <c r="K208" s="16"/>
    </row>
    <row r="209" spans="1:11" ht="12.75">
      <c r="A209" s="40" t="s">
        <v>598</v>
      </c>
      <c r="B209" s="40" t="s">
        <v>229</v>
      </c>
      <c r="C209" s="4" t="s">
        <v>316</v>
      </c>
      <c r="D209" s="1">
        <v>27850</v>
      </c>
      <c r="E209" s="1"/>
      <c r="F209" s="1">
        <v>9450</v>
      </c>
      <c r="G209" s="1"/>
      <c r="H209" s="49">
        <f t="shared" si="8"/>
        <v>294.7089947089947</v>
      </c>
      <c r="I209" s="117">
        <f>2.29*1.08*1.06</f>
        <v>2.6215920000000006</v>
      </c>
      <c r="J209" s="112">
        <f t="shared" si="9"/>
        <v>2.7526716000000007</v>
      </c>
      <c r="K209" s="16"/>
    </row>
    <row r="210" spans="1:11" ht="12.75">
      <c r="A210" s="40" t="s">
        <v>599</v>
      </c>
      <c r="B210" s="40" t="s">
        <v>231</v>
      </c>
      <c r="C210" s="4" t="s">
        <v>316</v>
      </c>
      <c r="D210" s="1">
        <v>27860</v>
      </c>
      <c r="E210" s="1"/>
      <c r="F210" s="1">
        <v>9450</v>
      </c>
      <c r="G210" s="1"/>
      <c r="H210" s="49">
        <f t="shared" si="8"/>
        <v>294.81481481481484</v>
      </c>
      <c r="I210" s="117">
        <f>2.29*1.08*1.06</f>
        <v>2.6215920000000006</v>
      </c>
      <c r="J210" s="112">
        <f t="shared" si="9"/>
        <v>2.7526716000000007</v>
      </c>
      <c r="K210" s="16"/>
    </row>
    <row r="211" spans="1:11" ht="12.75">
      <c r="A211" s="40" t="s">
        <v>178</v>
      </c>
      <c r="B211" s="42" t="s">
        <v>846</v>
      </c>
      <c r="C211" s="4" t="s">
        <v>316</v>
      </c>
      <c r="D211" s="1"/>
      <c r="E211" s="1"/>
      <c r="F211" s="1"/>
      <c r="G211" s="1"/>
      <c r="H211" s="49"/>
      <c r="I211" s="117">
        <v>11.45</v>
      </c>
      <c r="J211" s="112">
        <f t="shared" si="9"/>
        <v>12.022499999999999</v>
      </c>
      <c r="K211" s="16"/>
    </row>
    <row r="212" spans="1:11" ht="12.75">
      <c r="A212" s="40" t="s">
        <v>184</v>
      </c>
      <c r="B212" s="42" t="s">
        <v>233</v>
      </c>
      <c r="C212" s="4" t="s">
        <v>316</v>
      </c>
      <c r="D212" s="1"/>
      <c r="E212" s="1"/>
      <c r="F212" s="1"/>
      <c r="G212" s="1"/>
      <c r="H212" s="49"/>
      <c r="I212" s="117">
        <v>8.01</v>
      </c>
      <c r="J212" s="112">
        <f t="shared" si="9"/>
        <v>8.4105</v>
      </c>
      <c r="K212" s="16"/>
    </row>
    <row r="213" spans="1:11" ht="12.75">
      <c r="A213" s="40" t="s">
        <v>600</v>
      </c>
      <c r="B213" s="42" t="s">
        <v>601</v>
      </c>
      <c r="C213" s="4" t="s">
        <v>316</v>
      </c>
      <c r="D213" s="1">
        <v>4100</v>
      </c>
      <c r="E213" s="1"/>
      <c r="F213" s="1">
        <v>1300</v>
      </c>
      <c r="G213" s="1"/>
      <c r="H213" s="49">
        <f t="shared" si="8"/>
        <v>315.38461538461536</v>
      </c>
      <c r="I213" s="117">
        <f>0.31*1.08*1.06</f>
        <v>0.35488800000000004</v>
      </c>
      <c r="J213" s="112">
        <f t="shared" si="9"/>
        <v>0.37263240000000003</v>
      </c>
      <c r="K213" s="16"/>
    </row>
    <row r="214" spans="1:11" ht="12.75">
      <c r="A214" s="40" t="s">
        <v>602</v>
      </c>
      <c r="B214" s="42" t="s">
        <v>241</v>
      </c>
      <c r="C214" s="4" t="s">
        <v>349</v>
      </c>
      <c r="D214" s="1">
        <v>34830</v>
      </c>
      <c r="E214" s="1"/>
      <c r="F214" s="1">
        <v>8600</v>
      </c>
      <c r="G214" s="1"/>
      <c r="H214" s="49">
        <f t="shared" si="8"/>
        <v>405</v>
      </c>
      <c r="I214" s="117">
        <f>2.09*1.08*1.06</f>
        <v>2.3926320000000003</v>
      </c>
      <c r="J214" s="112">
        <f t="shared" si="9"/>
        <v>2.5122636000000003</v>
      </c>
      <c r="K214" s="16"/>
    </row>
    <row r="215" spans="1:11" ht="12.75">
      <c r="A215" s="40" t="s">
        <v>603</v>
      </c>
      <c r="B215" s="42" t="s">
        <v>604</v>
      </c>
      <c r="C215" s="4" t="s">
        <v>349</v>
      </c>
      <c r="D215" s="1">
        <v>38920</v>
      </c>
      <c r="E215" s="1"/>
      <c r="F215" s="1">
        <v>9550</v>
      </c>
      <c r="G215" s="1"/>
      <c r="H215" s="49">
        <f t="shared" si="8"/>
        <v>407.53926701570686</v>
      </c>
      <c r="I215" s="117">
        <f>2.32*1.08*1.06</f>
        <v>2.655936</v>
      </c>
      <c r="J215" s="112">
        <f t="shared" si="9"/>
        <v>2.7887328</v>
      </c>
      <c r="K215" s="16"/>
    </row>
    <row r="216" spans="1:11" ht="12.75">
      <c r="A216" s="40" t="s">
        <v>605</v>
      </c>
      <c r="B216" s="42" t="s">
        <v>245</v>
      </c>
      <c r="C216" s="4" t="s">
        <v>349</v>
      </c>
      <c r="D216" s="1">
        <v>45070</v>
      </c>
      <c r="E216" s="1"/>
      <c r="F216" s="1">
        <v>9250</v>
      </c>
      <c r="G216" s="1"/>
      <c r="H216" s="49">
        <f t="shared" si="8"/>
        <v>487.2432432432433</v>
      </c>
      <c r="I216" s="117">
        <f>2.24*1.08*1.06</f>
        <v>2.5643520000000004</v>
      </c>
      <c r="J216" s="112">
        <f t="shared" si="9"/>
        <v>2.6925696000000006</v>
      </c>
      <c r="K216" s="16"/>
    </row>
    <row r="217" spans="1:11" ht="12.75">
      <c r="A217" s="40" t="s">
        <v>606</v>
      </c>
      <c r="B217" s="42" t="s">
        <v>247</v>
      </c>
      <c r="C217" s="4" t="s">
        <v>349</v>
      </c>
      <c r="D217" s="1">
        <v>6150</v>
      </c>
      <c r="E217" s="1"/>
      <c r="F217" s="1">
        <v>1000</v>
      </c>
      <c r="G217" s="1"/>
      <c r="H217" s="49">
        <f t="shared" si="8"/>
        <v>615</v>
      </c>
      <c r="I217" s="117">
        <f>0.25*1.08*1.06</f>
        <v>0.2862</v>
      </c>
      <c r="J217" s="112">
        <f t="shared" si="9"/>
        <v>0.30051</v>
      </c>
      <c r="K217" s="16"/>
    </row>
    <row r="218" spans="1:11" ht="12.75">
      <c r="A218" s="40" t="s">
        <v>607</v>
      </c>
      <c r="B218" s="42" t="s">
        <v>608</v>
      </c>
      <c r="C218" s="4" t="s">
        <v>349</v>
      </c>
      <c r="D218" s="1">
        <v>9010</v>
      </c>
      <c r="E218" s="1"/>
      <c r="F218" s="1">
        <v>1300</v>
      </c>
      <c r="G218" s="1"/>
      <c r="H218" s="49">
        <f t="shared" si="8"/>
        <v>693.0769230769231</v>
      </c>
      <c r="I218" s="117">
        <f>0.31*1.08*1.06</f>
        <v>0.35488800000000004</v>
      </c>
      <c r="J218" s="112">
        <f t="shared" si="9"/>
        <v>0.37263240000000003</v>
      </c>
      <c r="K218" s="16"/>
    </row>
    <row r="219" spans="1:11" ht="12.75">
      <c r="A219" s="40" t="s">
        <v>609</v>
      </c>
      <c r="B219" s="42" t="s">
        <v>610</v>
      </c>
      <c r="C219" s="4" t="s">
        <v>349</v>
      </c>
      <c r="D219" s="1">
        <v>11880</v>
      </c>
      <c r="E219" s="1"/>
      <c r="F219" s="1">
        <v>1600</v>
      </c>
      <c r="G219" s="1"/>
      <c r="H219" s="49">
        <f t="shared" si="8"/>
        <v>742.5</v>
      </c>
      <c r="I219" s="117">
        <f>0.39*1.08*1.06</f>
        <v>0.44647200000000004</v>
      </c>
      <c r="J219" s="112">
        <f t="shared" si="9"/>
        <v>0.46879560000000003</v>
      </c>
      <c r="K219" s="16"/>
    </row>
    <row r="220" spans="1:11" ht="12.75">
      <c r="A220" s="40" t="s">
        <v>611</v>
      </c>
      <c r="B220" s="42" t="s">
        <v>612</v>
      </c>
      <c r="C220" s="4" t="s">
        <v>349</v>
      </c>
      <c r="D220" s="1">
        <v>12290</v>
      </c>
      <c r="E220" s="1"/>
      <c r="F220" s="1">
        <v>0</v>
      </c>
      <c r="G220" s="1"/>
      <c r="H220" s="49">
        <v>0</v>
      </c>
      <c r="I220" s="117">
        <f>2.46*1.08*1.06</f>
        <v>2.816208</v>
      </c>
      <c r="J220" s="112">
        <f t="shared" si="9"/>
        <v>2.9570184000000004</v>
      </c>
      <c r="K220" s="16"/>
    </row>
    <row r="221" spans="1:11" ht="12.75">
      <c r="A221" s="40" t="s">
        <v>613</v>
      </c>
      <c r="B221" s="42" t="s">
        <v>614</v>
      </c>
      <c r="C221" s="4" t="s">
        <v>316</v>
      </c>
      <c r="D221" s="1">
        <v>61460</v>
      </c>
      <c r="E221" s="1"/>
      <c r="F221" s="1">
        <v>0</v>
      </c>
      <c r="G221" s="1"/>
      <c r="H221" s="49">
        <v>0</v>
      </c>
      <c r="I221" s="117">
        <f>12.31*1.08*1.06</f>
        <v>14.092488000000003</v>
      </c>
      <c r="J221" s="112">
        <f t="shared" si="9"/>
        <v>14.797112400000003</v>
      </c>
      <c r="K221" s="16"/>
    </row>
    <row r="222" spans="1:11" ht="36" customHeight="1">
      <c r="A222" s="40" t="s">
        <v>615</v>
      </c>
      <c r="B222" s="42" t="s">
        <v>616</v>
      </c>
      <c r="C222" s="87" t="s">
        <v>316</v>
      </c>
      <c r="D222" s="1">
        <v>12290</v>
      </c>
      <c r="E222" s="1"/>
      <c r="F222" s="1">
        <v>2400</v>
      </c>
      <c r="G222" s="1"/>
      <c r="H222" s="49">
        <f t="shared" si="8"/>
        <v>512.0833333333334</v>
      </c>
      <c r="I222" s="118">
        <f>0.58*1.08*1.06</f>
        <v>0.663984</v>
      </c>
      <c r="J222" s="112">
        <f t="shared" si="9"/>
        <v>0.6971832</v>
      </c>
      <c r="K222" s="16"/>
    </row>
    <row r="223" spans="1:11" ht="12.75">
      <c r="A223" s="40" t="s">
        <v>617</v>
      </c>
      <c r="B223" s="40" t="s">
        <v>618</v>
      </c>
      <c r="C223" s="4" t="s">
        <v>316</v>
      </c>
      <c r="D223" s="1">
        <v>24580</v>
      </c>
      <c r="E223" s="1"/>
      <c r="F223" s="1">
        <v>9450</v>
      </c>
      <c r="G223" s="1"/>
      <c r="H223" s="49">
        <f t="shared" si="8"/>
        <v>260.1058201058201</v>
      </c>
      <c r="I223" s="117">
        <f>2.29*1.08*1.06</f>
        <v>2.6215920000000006</v>
      </c>
      <c r="J223" s="112">
        <f t="shared" si="9"/>
        <v>2.7526716000000007</v>
      </c>
      <c r="K223" s="16"/>
    </row>
    <row r="224" spans="1:11" ht="12.75">
      <c r="A224" s="40" t="s">
        <v>619</v>
      </c>
      <c r="B224" s="40" t="s">
        <v>620</v>
      </c>
      <c r="C224" s="4" t="s">
        <v>316</v>
      </c>
      <c r="D224" s="1">
        <v>40970</v>
      </c>
      <c r="E224" s="1"/>
      <c r="F224" s="1">
        <v>15750</v>
      </c>
      <c r="G224" s="1"/>
      <c r="H224" s="49">
        <f t="shared" si="8"/>
        <v>260.1269841269841</v>
      </c>
      <c r="I224" s="117">
        <f>3.82*1.08*1.06</f>
        <v>4.373136000000001</v>
      </c>
      <c r="J224" s="112">
        <f t="shared" si="9"/>
        <v>4.591792800000001</v>
      </c>
      <c r="K224" s="16"/>
    </row>
    <row r="225" spans="1:11" ht="12.75">
      <c r="A225" s="40" t="s">
        <v>621</v>
      </c>
      <c r="B225" s="40" t="s">
        <v>622</v>
      </c>
      <c r="C225" s="4" t="s">
        <v>316</v>
      </c>
      <c r="D225" s="1">
        <v>16390</v>
      </c>
      <c r="E225" s="1"/>
      <c r="F225" s="1">
        <v>6950</v>
      </c>
      <c r="G225" s="1"/>
      <c r="H225" s="49">
        <f t="shared" si="8"/>
        <v>235.8273381294964</v>
      </c>
      <c r="I225" s="117">
        <f>1.69*1.08*1.06</f>
        <v>1.9347120000000002</v>
      </c>
      <c r="J225" s="112">
        <f t="shared" si="9"/>
        <v>2.0314476000000004</v>
      </c>
      <c r="K225" s="16"/>
    </row>
    <row r="226" spans="1:11" ht="12.75">
      <c r="A226" s="40" t="s">
        <v>623</v>
      </c>
      <c r="B226" s="40" t="s">
        <v>624</v>
      </c>
      <c r="C226" s="4" t="s">
        <v>316</v>
      </c>
      <c r="D226" s="1">
        <v>49170</v>
      </c>
      <c r="E226" s="1"/>
      <c r="F226" s="1">
        <v>13600</v>
      </c>
      <c r="G226" s="1"/>
      <c r="H226" s="49">
        <f t="shared" si="8"/>
        <v>361.5441176470588</v>
      </c>
      <c r="I226" s="117">
        <f>3.3*1.08*1.06</f>
        <v>3.7778400000000003</v>
      </c>
      <c r="J226" s="112">
        <f t="shared" si="9"/>
        <v>3.9667320000000004</v>
      </c>
      <c r="K226" s="16"/>
    </row>
    <row r="227" spans="1:11" ht="12.75">
      <c r="A227" s="40" t="s">
        <v>625</v>
      </c>
      <c r="B227" s="40" t="s">
        <v>237</v>
      </c>
      <c r="C227" s="4" t="s">
        <v>316</v>
      </c>
      <c r="D227" s="1">
        <v>6150</v>
      </c>
      <c r="E227" s="1"/>
      <c r="F227" s="1">
        <v>2150</v>
      </c>
      <c r="G227" s="1"/>
      <c r="H227" s="49">
        <f t="shared" si="8"/>
        <v>286.046511627907</v>
      </c>
      <c r="I227" s="117">
        <f>0.52*1.08*1.06</f>
        <v>0.5952960000000002</v>
      </c>
      <c r="J227" s="112">
        <f t="shared" si="9"/>
        <v>0.6250608000000002</v>
      </c>
      <c r="K227" s="16"/>
    </row>
    <row r="228" spans="1:11" ht="12.75">
      <c r="A228" s="40" t="s">
        <v>626</v>
      </c>
      <c r="B228" s="40" t="s">
        <v>627</v>
      </c>
      <c r="C228" s="4" t="s">
        <v>316</v>
      </c>
      <c r="D228" s="1">
        <v>12290</v>
      </c>
      <c r="E228" s="1"/>
      <c r="F228" s="1">
        <v>3400</v>
      </c>
      <c r="G228" s="1"/>
      <c r="H228" s="49">
        <f t="shared" si="8"/>
        <v>361.47058823529414</v>
      </c>
      <c r="I228" s="117">
        <f>0.83*1.08*1.06</f>
        <v>0.950184</v>
      </c>
      <c r="J228" s="112">
        <f t="shared" si="9"/>
        <v>0.9976932000000001</v>
      </c>
      <c r="K228" s="16"/>
    </row>
    <row r="229" spans="1:11" ht="12.75">
      <c r="A229" s="40" t="s">
        <v>258</v>
      </c>
      <c r="B229" s="40" t="s">
        <v>259</v>
      </c>
      <c r="C229" s="4" t="s">
        <v>628</v>
      </c>
      <c r="D229" s="1">
        <v>8380</v>
      </c>
      <c r="E229" s="1"/>
      <c r="F229" s="1">
        <v>2050</v>
      </c>
      <c r="G229" s="1"/>
      <c r="H229" s="49">
        <f t="shared" si="8"/>
        <v>408.7804878048781</v>
      </c>
      <c r="I229" s="117">
        <f>0.5*1.08*1.06</f>
        <v>0.5724</v>
      </c>
      <c r="J229" s="112">
        <f t="shared" si="9"/>
        <v>0.60102</v>
      </c>
      <c r="K229" s="16"/>
    </row>
    <row r="230" spans="1:11" ht="12.75">
      <c r="A230" s="75"/>
      <c r="B230" s="75"/>
      <c r="C230" s="12"/>
      <c r="D230" s="2"/>
      <c r="E230" s="2"/>
      <c r="F230" s="2"/>
      <c r="G230" s="2"/>
      <c r="H230" s="76"/>
      <c r="I230" s="119"/>
      <c r="J230" s="2"/>
      <c r="K230" s="77"/>
    </row>
    <row r="231" spans="1:11" ht="47.25">
      <c r="A231" s="75"/>
      <c r="B231" s="78" t="s">
        <v>762</v>
      </c>
      <c r="C231" s="12"/>
      <c r="D231" s="2"/>
      <c r="E231" s="2"/>
      <c r="F231" s="2"/>
      <c r="G231" s="2"/>
      <c r="H231" s="76"/>
      <c r="I231" s="119"/>
      <c r="J231" s="2"/>
      <c r="K231" s="77"/>
    </row>
    <row r="232" spans="1:11" ht="12.75">
      <c r="A232" s="2"/>
      <c r="B232" s="12"/>
      <c r="C232" s="12"/>
      <c r="D232" s="2"/>
      <c r="E232" s="2"/>
      <c r="F232" s="2"/>
      <c r="G232" s="2"/>
      <c r="H232" s="2"/>
      <c r="I232" s="120"/>
      <c r="J232" s="2"/>
      <c r="K232" s="2"/>
    </row>
    <row r="233" spans="1:11" ht="12.75">
      <c r="A233" s="2"/>
      <c r="B233" s="194" t="s">
        <v>848</v>
      </c>
      <c r="C233" s="133"/>
      <c r="D233" s="2"/>
      <c r="E233" s="2"/>
      <c r="F233" s="2"/>
      <c r="G233" s="2"/>
      <c r="H233" s="2"/>
      <c r="I233" s="120"/>
      <c r="J233" s="2"/>
      <c r="K233" s="2"/>
    </row>
    <row r="234" spans="1:11" ht="12.75">
      <c r="A234" s="2"/>
      <c r="B234" s="12"/>
      <c r="C234" s="12"/>
      <c r="D234" s="2"/>
      <c r="E234" s="2"/>
      <c r="F234" s="2"/>
      <c r="G234" s="2"/>
      <c r="H234" s="2"/>
      <c r="I234" s="120"/>
      <c r="J234" s="2"/>
      <c r="K234" s="2"/>
    </row>
    <row r="235" spans="1:11" ht="12.75">
      <c r="A235" s="2"/>
      <c r="B235" s="12"/>
      <c r="C235" s="12"/>
      <c r="D235" s="2"/>
      <c r="E235" s="2"/>
      <c r="F235" s="2"/>
      <c r="G235" s="2"/>
      <c r="H235" s="2"/>
      <c r="I235" s="120"/>
      <c r="J235" s="2"/>
      <c r="K235" s="2"/>
    </row>
    <row r="236" spans="1:11" ht="12.75">
      <c r="A236" s="2"/>
      <c r="B236" s="12"/>
      <c r="C236" s="12"/>
      <c r="D236" s="2"/>
      <c r="E236" s="2"/>
      <c r="F236" s="2"/>
      <c r="G236" s="2"/>
      <c r="H236" s="2"/>
      <c r="I236" s="120"/>
      <c r="J236" s="2"/>
      <c r="K236" s="2"/>
    </row>
    <row r="237" spans="1:11" ht="12.75">
      <c r="A237" s="2"/>
      <c r="B237" s="12"/>
      <c r="C237" s="12"/>
      <c r="D237" s="2"/>
      <c r="E237" s="2"/>
      <c r="F237" s="2"/>
      <c r="G237" s="2"/>
      <c r="H237" s="2"/>
      <c r="I237" s="120"/>
      <c r="J237" s="2"/>
      <c r="K237" s="2"/>
    </row>
    <row r="238" spans="1:11" ht="12.75">
      <c r="A238" s="2"/>
      <c r="B238" s="12"/>
      <c r="C238" s="12"/>
      <c r="D238" s="2"/>
      <c r="E238" s="2"/>
      <c r="F238" s="2"/>
      <c r="G238" s="2"/>
      <c r="H238" s="2"/>
      <c r="I238" s="120"/>
      <c r="J238" s="2"/>
      <c r="K238" s="2"/>
    </row>
    <row r="239" spans="1:11" ht="12.75">
      <c r="A239" s="2"/>
      <c r="B239" s="12"/>
      <c r="C239" s="12"/>
      <c r="D239" s="2"/>
      <c r="E239" s="2"/>
      <c r="F239" s="2"/>
      <c r="G239" s="2"/>
      <c r="H239" s="2"/>
      <c r="I239" s="120"/>
      <c r="J239" s="2"/>
      <c r="K239" s="2"/>
    </row>
    <row r="240" spans="1:11" ht="12.75">
      <c r="A240" s="2"/>
      <c r="B240" s="12"/>
      <c r="C240" s="12"/>
      <c r="D240" s="2"/>
      <c r="E240" s="2"/>
      <c r="F240" s="2"/>
      <c r="G240" s="2"/>
      <c r="H240" s="2"/>
      <c r="I240" s="120"/>
      <c r="J240" s="2"/>
      <c r="K240" s="2"/>
    </row>
    <row r="241" spans="1:11" ht="12.75">
      <c r="A241" s="2"/>
      <c r="B241" s="12"/>
      <c r="C241" s="12"/>
      <c r="D241" s="2"/>
      <c r="E241" s="2"/>
      <c r="F241" s="2"/>
      <c r="G241" s="2"/>
      <c r="H241" s="2"/>
      <c r="I241" s="120"/>
      <c r="J241" s="2"/>
      <c r="K241" s="2"/>
    </row>
    <row r="242" spans="1:11" ht="12.75">
      <c r="A242" s="2"/>
      <c r="B242" s="12"/>
      <c r="C242" s="12"/>
      <c r="D242" s="2"/>
      <c r="E242" s="2"/>
      <c r="F242" s="2"/>
      <c r="G242" s="2"/>
      <c r="H242" s="2"/>
      <c r="I242" s="120"/>
      <c r="J242" s="2"/>
      <c r="K242" s="2"/>
    </row>
    <row r="243" spans="1:11" ht="12.75">
      <c r="A243" s="2"/>
      <c r="B243" s="12"/>
      <c r="C243" s="12"/>
      <c r="D243" s="2"/>
      <c r="E243" s="2"/>
      <c r="F243" s="2"/>
      <c r="G243" s="2"/>
      <c r="H243" s="2"/>
      <c r="I243" s="120"/>
      <c r="J243" s="2"/>
      <c r="K243" s="2"/>
    </row>
    <row r="244" spans="1:11" ht="12.75">
      <c r="A244" s="2"/>
      <c r="B244" s="12"/>
      <c r="C244" s="12"/>
      <c r="D244" s="2"/>
      <c r="E244" s="2"/>
      <c r="F244" s="2"/>
      <c r="G244" s="2"/>
      <c r="H244" s="2"/>
      <c r="I244" s="120"/>
      <c r="J244" s="2"/>
      <c r="K244" s="2"/>
    </row>
    <row r="245" spans="1:11" ht="12.75">
      <c r="A245" s="2"/>
      <c r="B245" s="12"/>
      <c r="C245" s="12"/>
      <c r="D245" s="2"/>
      <c r="E245" s="2"/>
      <c r="F245" s="2"/>
      <c r="G245" s="2"/>
      <c r="H245" s="2"/>
      <c r="I245" s="120"/>
      <c r="J245" s="2"/>
      <c r="K245" s="2"/>
    </row>
    <row r="246" spans="1:11" ht="12.75">
      <c r="A246" s="2"/>
      <c r="B246" s="12"/>
      <c r="C246" s="12"/>
      <c r="D246" s="2"/>
      <c r="E246" s="2"/>
      <c r="F246" s="2"/>
      <c r="G246" s="2"/>
      <c r="H246" s="2"/>
      <c r="I246" s="120"/>
      <c r="J246" s="2"/>
      <c r="K246" s="2"/>
    </row>
  </sheetData>
  <sheetProtection/>
  <mergeCells count="86">
    <mergeCell ref="I94:I97"/>
    <mergeCell ref="H90:H93"/>
    <mergeCell ref="F106:F109"/>
    <mergeCell ref="C78:C81"/>
    <mergeCell ref="C94:C97"/>
    <mergeCell ref="G98:G101"/>
    <mergeCell ref="C106:C109"/>
    <mergeCell ref="D102:D105"/>
    <mergeCell ref="G106:G109"/>
    <mergeCell ref="H106:H109"/>
    <mergeCell ref="B9:B10"/>
    <mergeCell ref="A9:A10"/>
    <mergeCell ref="C9:C10"/>
    <mergeCell ref="D106:D109"/>
    <mergeCell ref="J98:J101"/>
    <mergeCell ref="D94:D97"/>
    <mergeCell ref="J90:J93"/>
    <mergeCell ref="G86:G89"/>
    <mergeCell ref="C86:C89"/>
    <mergeCell ref="C90:C93"/>
    <mergeCell ref="B233:C233"/>
    <mergeCell ref="G102:G105"/>
    <mergeCell ref="H102:H105"/>
    <mergeCell ref="E102:E105"/>
    <mergeCell ref="F102:F105"/>
    <mergeCell ref="G94:G97"/>
    <mergeCell ref="C102:C105"/>
    <mergeCell ref="E106:E109"/>
    <mergeCell ref="E94:E97"/>
    <mergeCell ref="H98:H101"/>
    <mergeCell ref="C1:K1"/>
    <mergeCell ref="C2:K2"/>
    <mergeCell ref="C4:K4"/>
    <mergeCell ref="D90:D93"/>
    <mergeCell ref="E90:E93"/>
    <mergeCell ref="F90:F93"/>
    <mergeCell ref="J86:J89"/>
    <mergeCell ref="D9:E9"/>
    <mergeCell ref="F9:G9"/>
    <mergeCell ref="H9:H10"/>
    <mergeCell ref="I9:J9"/>
    <mergeCell ref="F78:F81"/>
    <mergeCell ref="F86:F89"/>
    <mergeCell ref="G78:G81"/>
    <mergeCell ref="H78:H81"/>
    <mergeCell ref="I78:I81"/>
    <mergeCell ref="I86:I89"/>
    <mergeCell ref="I82:I85"/>
    <mergeCell ref="A5:K5"/>
    <mergeCell ref="A6:K6"/>
    <mergeCell ref="A7:K7"/>
    <mergeCell ref="K9:K10"/>
    <mergeCell ref="K78:K81"/>
    <mergeCell ref="C82:C85"/>
    <mergeCell ref="K82:K85"/>
    <mergeCell ref="D78:D81"/>
    <mergeCell ref="E78:E81"/>
    <mergeCell ref="J78:J81"/>
    <mergeCell ref="K86:K89"/>
    <mergeCell ref="D82:D85"/>
    <mergeCell ref="E82:E85"/>
    <mergeCell ref="F82:F85"/>
    <mergeCell ref="G82:G85"/>
    <mergeCell ref="H82:H85"/>
    <mergeCell ref="J82:J85"/>
    <mergeCell ref="D86:D89"/>
    <mergeCell ref="E86:E89"/>
    <mergeCell ref="H86:H89"/>
    <mergeCell ref="K94:K97"/>
    <mergeCell ref="I90:I93"/>
    <mergeCell ref="G90:G93"/>
    <mergeCell ref="C98:C101"/>
    <mergeCell ref="F94:F97"/>
    <mergeCell ref="D98:D101"/>
    <mergeCell ref="E98:E101"/>
    <mergeCell ref="F98:F101"/>
    <mergeCell ref="J94:J97"/>
    <mergeCell ref="H94:H97"/>
    <mergeCell ref="J106:J109"/>
    <mergeCell ref="I106:I109"/>
    <mergeCell ref="I98:I101"/>
    <mergeCell ref="K98:K101"/>
    <mergeCell ref="I102:I105"/>
    <mergeCell ref="K102:K105"/>
    <mergeCell ref="K106:K109"/>
    <mergeCell ref="J102:J105"/>
  </mergeCells>
  <printOptions/>
  <pageMargins left="0.25" right="0.25" top="0.75" bottom="0.75" header="0.3" footer="0.3"/>
  <pageSetup horizontalDpi="600" verticalDpi="600" orientation="landscape" paperSize="9" scale="78" r:id="rId1"/>
  <rowBreaks count="4" manualBreakCount="4">
    <brk id="44" max="255" man="1"/>
    <brk id="89" max="255" man="1"/>
    <brk id="127" max="255" man="1"/>
    <brk id="2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G55" sqref="G55"/>
    </sheetView>
  </sheetViews>
  <sheetFormatPr defaultColWidth="9.140625" defaultRowHeight="12.75"/>
  <cols>
    <col min="2" max="2" width="58.8515625" style="0" customWidth="1"/>
    <col min="3" max="3" width="16.28125" style="0" customWidth="1"/>
    <col min="4" max="4" width="7.28125" style="0" customWidth="1"/>
    <col min="5" max="5" width="7.7109375" style="0" customWidth="1"/>
  </cols>
  <sheetData>
    <row r="1" spans="1:3" ht="12.75">
      <c r="A1" s="145" t="s">
        <v>757</v>
      </c>
      <c r="B1" s="132"/>
      <c r="C1" s="132"/>
    </row>
    <row r="2" spans="1:3" ht="12.75">
      <c r="A2" s="145" t="s">
        <v>764</v>
      </c>
      <c r="B2" s="132"/>
      <c r="C2" s="132"/>
    </row>
    <row r="3" spans="1:3" ht="12.75">
      <c r="A3" s="145" t="s">
        <v>758</v>
      </c>
      <c r="B3" s="132"/>
      <c r="C3" s="132"/>
    </row>
    <row r="4" spans="1:3" ht="12.75">
      <c r="A4" s="145" t="s">
        <v>765</v>
      </c>
      <c r="B4" s="132"/>
      <c r="C4" s="132"/>
    </row>
    <row r="5" spans="1:3" ht="12.75">
      <c r="A5" s="53" t="s">
        <v>759</v>
      </c>
      <c r="B5" s="53" t="s">
        <v>766</v>
      </c>
      <c r="C5" s="53" t="s">
        <v>767</v>
      </c>
    </row>
    <row r="6" spans="1:3" ht="12.75">
      <c r="A6" s="53"/>
      <c r="B6" s="53"/>
      <c r="C6" s="53"/>
    </row>
    <row r="7" spans="1:3" ht="12.75">
      <c r="A7" s="53"/>
      <c r="B7" s="53"/>
      <c r="C7" s="53"/>
    </row>
    <row r="8" spans="1:3" ht="12.75">
      <c r="A8" s="58"/>
      <c r="B8" s="60" t="s">
        <v>756</v>
      </c>
      <c r="C8" s="58"/>
    </row>
    <row r="9" spans="1:3" ht="41.25" customHeight="1">
      <c r="A9" s="200" t="s">
        <v>763</v>
      </c>
      <c r="B9" s="201"/>
      <c r="C9" s="201"/>
    </row>
    <row r="10" spans="1:3" ht="12.75">
      <c r="A10" s="28"/>
      <c r="B10" s="72" t="s">
        <v>2</v>
      </c>
      <c r="C10" s="72" t="s">
        <v>3</v>
      </c>
    </row>
    <row r="11" spans="1:3" ht="12.75">
      <c r="A11" s="72">
        <v>1</v>
      </c>
      <c r="B11" s="72">
        <v>2</v>
      </c>
      <c r="C11" s="72">
        <v>3</v>
      </c>
    </row>
    <row r="12" spans="1:3" ht="15.75">
      <c r="A12" s="64" t="s">
        <v>327</v>
      </c>
      <c r="B12" s="202" t="s">
        <v>651</v>
      </c>
      <c r="C12" s="202"/>
    </row>
    <row r="13" spans="1:3" ht="15.75">
      <c r="A13" s="64" t="s">
        <v>29</v>
      </c>
      <c r="B13" s="61" t="s">
        <v>8</v>
      </c>
      <c r="C13" s="64" t="s">
        <v>7</v>
      </c>
    </row>
    <row r="14" spans="1:3" ht="15.75">
      <c r="A14" s="65" t="s">
        <v>31</v>
      </c>
      <c r="B14" s="61" t="s">
        <v>11</v>
      </c>
      <c r="C14" s="64" t="s">
        <v>7</v>
      </c>
    </row>
    <row r="15" spans="1:3" ht="15.75">
      <c r="A15" s="66" t="s">
        <v>265</v>
      </c>
      <c r="B15" s="62" t="s">
        <v>12</v>
      </c>
      <c r="C15" s="64" t="s">
        <v>7</v>
      </c>
    </row>
    <row r="16" spans="1:3" ht="15.75">
      <c r="A16" s="66" t="s">
        <v>33</v>
      </c>
      <c r="B16" s="62" t="s">
        <v>13</v>
      </c>
      <c r="C16" s="64" t="s">
        <v>7</v>
      </c>
    </row>
    <row r="17" spans="1:3" ht="15.75">
      <c r="A17" s="66" t="s">
        <v>642</v>
      </c>
      <c r="B17" s="62" t="s">
        <v>14</v>
      </c>
      <c r="C17" s="64" t="s">
        <v>7</v>
      </c>
    </row>
    <row r="18" spans="1:3" ht="15.75">
      <c r="A18" s="66" t="s">
        <v>643</v>
      </c>
      <c r="B18" s="62" t="s">
        <v>15</v>
      </c>
      <c r="C18" s="64" t="s">
        <v>7</v>
      </c>
    </row>
    <row r="19" spans="1:3" ht="15.75">
      <c r="A19" s="66" t="s">
        <v>35</v>
      </c>
      <c r="B19" s="62" t="s">
        <v>16</v>
      </c>
      <c r="C19" s="64" t="s">
        <v>7</v>
      </c>
    </row>
    <row r="20" spans="1:3" ht="15.75">
      <c r="A20" s="66" t="s">
        <v>644</v>
      </c>
      <c r="B20" s="62" t="s">
        <v>17</v>
      </c>
      <c r="C20" s="64" t="s">
        <v>7</v>
      </c>
    </row>
    <row r="21" spans="1:3" ht="15.75">
      <c r="A21" s="66" t="s">
        <v>645</v>
      </c>
      <c r="B21" s="62" t="s">
        <v>18</v>
      </c>
      <c r="C21" s="64" t="s">
        <v>7</v>
      </c>
    </row>
    <row r="22" spans="1:3" ht="15.75">
      <c r="A22" s="66" t="s">
        <v>646</v>
      </c>
      <c r="B22" s="62" t="s">
        <v>19</v>
      </c>
      <c r="C22" s="64" t="s">
        <v>7</v>
      </c>
    </row>
    <row r="23" spans="1:3" ht="15.75">
      <c r="A23" s="66" t="s">
        <v>647</v>
      </c>
      <c r="B23" s="62" t="s">
        <v>20</v>
      </c>
      <c r="C23" s="64" t="s">
        <v>7</v>
      </c>
    </row>
    <row r="24" spans="1:3" ht="15.75">
      <c r="A24" s="66" t="s">
        <v>648</v>
      </c>
      <c r="B24" s="62" t="s">
        <v>21</v>
      </c>
      <c r="C24" s="64" t="s">
        <v>7</v>
      </c>
    </row>
    <row r="25" spans="1:3" ht="15.75">
      <c r="A25" s="64" t="s">
        <v>649</v>
      </c>
      <c r="B25" s="61" t="s">
        <v>22</v>
      </c>
      <c r="C25" s="64" t="s">
        <v>7</v>
      </c>
    </row>
    <row r="26" spans="1:3" ht="28.5" customHeight="1">
      <c r="A26" s="64" t="s">
        <v>37</v>
      </c>
      <c r="B26" s="79" t="s">
        <v>23</v>
      </c>
      <c r="C26" s="64" t="s">
        <v>24</v>
      </c>
    </row>
    <row r="27" spans="1:3" ht="29.25" customHeight="1">
      <c r="A27" s="67" t="s">
        <v>39</v>
      </c>
      <c r="B27" s="63" t="s">
        <v>25</v>
      </c>
      <c r="C27" s="64" t="s">
        <v>24</v>
      </c>
    </row>
    <row r="28" spans="1:3" ht="16.5" customHeight="1">
      <c r="A28" s="68" t="s">
        <v>650</v>
      </c>
      <c r="B28" s="63" t="s">
        <v>635</v>
      </c>
      <c r="C28" s="64" t="s">
        <v>7</v>
      </c>
    </row>
    <row r="29" spans="1:3" ht="15.75">
      <c r="A29" s="69">
        <v>2</v>
      </c>
      <c r="B29" s="8" t="s">
        <v>652</v>
      </c>
      <c r="C29" s="64"/>
    </row>
    <row r="30" spans="1:3" ht="15.75">
      <c r="A30" s="70" t="s">
        <v>270</v>
      </c>
      <c r="B30" s="55" t="s">
        <v>266</v>
      </c>
      <c r="C30" s="64"/>
    </row>
    <row r="31" spans="1:3" ht="47.25">
      <c r="A31" s="70" t="s">
        <v>653</v>
      </c>
      <c r="B31" s="55" t="s">
        <v>268</v>
      </c>
      <c r="C31" s="64" t="s">
        <v>307</v>
      </c>
    </row>
    <row r="32" spans="1:3" ht="15.75">
      <c r="A32" s="70" t="s">
        <v>654</v>
      </c>
      <c r="B32" s="59" t="s">
        <v>269</v>
      </c>
      <c r="C32" s="64" t="s">
        <v>307</v>
      </c>
    </row>
    <row r="33" spans="1:3" ht="15.75">
      <c r="A33" s="70"/>
      <c r="B33" s="55" t="s">
        <v>271</v>
      </c>
      <c r="C33" s="64"/>
    </row>
    <row r="34" spans="1:3" ht="31.5">
      <c r="A34" s="70" t="s">
        <v>71</v>
      </c>
      <c r="B34" s="55" t="s">
        <v>273</v>
      </c>
      <c r="C34" s="64" t="s">
        <v>308</v>
      </c>
    </row>
    <row r="35" spans="1:3" ht="15.75">
      <c r="A35" s="70" t="s">
        <v>655</v>
      </c>
      <c r="B35" s="55" t="s">
        <v>275</v>
      </c>
      <c r="C35" s="64" t="s">
        <v>308</v>
      </c>
    </row>
    <row r="36" spans="1:3" ht="15.75" customHeight="1">
      <c r="A36" s="70" t="s">
        <v>656</v>
      </c>
      <c r="B36" s="55" t="s">
        <v>663</v>
      </c>
      <c r="C36" s="64" t="s">
        <v>308</v>
      </c>
    </row>
    <row r="37" spans="1:3" ht="15.75">
      <c r="A37" s="70" t="s">
        <v>657</v>
      </c>
      <c r="B37" s="55" t="s">
        <v>664</v>
      </c>
      <c r="C37" s="64" t="s">
        <v>308</v>
      </c>
    </row>
    <row r="38" spans="1:3" ht="51" customHeight="1">
      <c r="A38" s="70" t="s">
        <v>658</v>
      </c>
      <c r="B38" s="55" t="s">
        <v>289</v>
      </c>
      <c r="C38" s="64" t="s">
        <v>308</v>
      </c>
    </row>
    <row r="39" spans="1:3" ht="31.5">
      <c r="A39" s="70" t="s">
        <v>659</v>
      </c>
      <c r="B39" s="55" t="s">
        <v>291</v>
      </c>
      <c r="C39" s="64" t="s">
        <v>308</v>
      </c>
    </row>
    <row r="40" spans="1:3" ht="15.75">
      <c r="A40" s="70" t="s">
        <v>287</v>
      </c>
      <c r="B40" s="55" t="s">
        <v>293</v>
      </c>
      <c r="C40" s="64" t="s">
        <v>308</v>
      </c>
    </row>
    <row r="41" spans="1:3" ht="15.75">
      <c r="A41" s="70" t="s">
        <v>660</v>
      </c>
      <c r="B41" s="55" t="s">
        <v>294</v>
      </c>
      <c r="C41" s="64" t="s">
        <v>308</v>
      </c>
    </row>
    <row r="42" spans="1:3" ht="31.5">
      <c r="A42" s="70" t="s">
        <v>661</v>
      </c>
      <c r="B42" s="55" t="s">
        <v>665</v>
      </c>
      <c r="C42" s="64" t="s">
        <v>308</v>
      </c>
    </row>
    <row r="43" spans="1:3" ht="47.25">
      <c r="A43" s="70" t="s">
        <v>662</v>
      </c>
      <c r="B43" s="59" t="s">
        <v>666</v>
      </c>
      <c r="C43" s="64" t="s">
        <v>308</v>
      </c>
    </row>
    <row r="44" spans="1:3" ht="48" customHeight="1">
      <c r="A44" s="64" t="s">
        <v>768</v>
      </c>
      <c r="B44" s="81" t="s">
        <v>769</v>
      </c>
      <c r="C44" s="64" t="s">
        <v>308</v>
      </c>
    </row>
    <row r="45" spans="1:3" ht="30.75" customHeight="1">
      <c r="A45" s="64" t="s">
        <v>770</v>
      </c>
      <c r="B45" s="55" t="s">
        <v>771</v>
      </c>
      <c r="C45" s="80" t="s">
        <v>307</v>
      </c>
    </row>
    <row r="46" spans="1:3" ht="32.25" customHeight="1">
      <c r="A46" s="64" t="s">
        <v>774</v>
      </c>
      <c r="B46" s="82" t="s">
        <v>772</v>
      </c>
      <c r="C46" s="80" t="s">
        <v>308</v>
      </c>
    </row>
    <row r="47" spans="1:3" ht="45">
      <c r="A47" s="64" t="s">
        <v>116</v>
      </c>
      <c r="B47" s="82" t="s">
        <v>773</v>
      </c>
      <c r="C47" s="80" t="s">
        <v>308</v>
      </c>
    </row>
    <row r="48" spans="1:3" ht="60">
      <c r="A48" s="64" t="s">
        <v>775</v>
      </c>
      <c r="B48" s="82" t="s">
        <v>777</v>
      </c>
      <c r="C48" s="80" t="s">
        <v>308</v>
      </c>
    </row>
    <row r="49" spans="1:3" ht="30">
      <c r="A49" s="64" t="s">
        <v>776</v>
      </c>
      <c r="B49" s="82" t="s">
        <v>778</v>
      </c>
      <c r="C49" s="80" t="s">
        <v>308</v>
      </c>
    </row>
    <row r="50" spans="1:3" ht="45">
      <c r="A50" s="64" t="s">
        <v>782</v>
      </c>
      <c r="B50" s="82" t="s">
        <v>779</v>
      </c>
      <c r="C50" s="80" t="s">
        <v>308</v>
      </c>
    </row>
    <row r="51" spans="1:3" ht="30">
      <c r="A51" s="64" t="s">
        <v>783</v>
      </c>
      <c r="B51" s="82" t="s">
        <v>780</v>
      </c>
      <c r="C51" s="80" t="s">
        <v>308</v>
      </c>
    </row>
    <row r="52" spans="1:3" ht="30" customHeight="1">
      <c r="A52" s="64" t="s">
        <v>784</v>
      </c>
      <c r="B52" s="83" t="s">
        <v>781</v>
      </c>
      <c r="C52" s="80" t="s">
        <v>308</v>
      </c>
    </row>
    <row r="53" spans="1:3" ht="15.75">
      <c r="A53" s="70" t="s">
        <v>118</v>
      </c>
      <c r="B53" s="84" t="s">
        <v>785</v>
      </c>
      <c r="C53" s="80" t="s">
        <v>308</v>
      </c>
    </row>
    <row r="54" spans="1:3" ht="15.75">
      <c r="A54" s="71" t="s">
        <v>124</v>
      </c>
      <c r="B54" s="198" t="s">
        <v>640</v>
      </c>
      <c r="C54" s="199"/>
    </row>
    <row r="55" spans="1:3" ht="31.5">
      <c r="A55" s="64" t="s">
        <v>290</v>
      </c>
      <c r="B55" s="63" t="s">
        <v>636</v>
      </c>
      <c r="C55" s="70" t="s">
        <v>637</v>
      </c>
    </row>
    <row r="56" spans="1:3" ht="31.5">
      <c r="A56" s="64" t="s">
        <v>292</v>
      </c>
      <c r="B56" s="63" t="s">
        <v>638</v>
      </c>
      <c r="C56" s="70" t="s">
        <v>637</v>
      </c>
    </row>
    <row r="57" spans="1:3" ht="28.5" customHeight="1">
      <c r="A57" s="64" t="s">
        <v>667</v>
      </c>
      <c r="B57" s="63" t="s">
        <v>639</v>
      </c>
      <c r="C57" s="70" t="s">
        <v>637</v>
      </c>
    </row>
    <row r="58" spans="1:3" ht="15.75">
      <c r="A58" s="69" t="s">
        <v>130</v>
      </c>
      <c r="B58" s="8" t="s">
        <v>668</v>
      </c>
      <c r="C58" s="64" t="s">
        <v>315</v>
      </c>
    </row>
    <row r="59" spans="1:3" ht="15.75">
      <c r="A59" s="69" t="s">
        <v>669</v>
      </c>
      <c r="B59" s="8" t="s">
        <v>672</v>
      </c>
      <c r="C59" s="64"/>
    </row>
    <row r="60" spans="1:3" ht="45.75" customHeight="1">
      <c r="A60" s="64" t="s">
        <v>673</v>
      </c>
      <c r="B60" s="63" t="s">
        <v>671</v>
      </c>
      <c r="C60" s="64" t="s">
        <v>637</v>
      </c>
    </row>
    <row r="61" spans="1:3" ht="15.75">
      <c r="A61" s="64" t="s">
        <v>674</v>
      </c>
      <c r="B61" s="61" t="s">
        <v>670</v>
      </c>
      <c r="C61" s="64"/>
    </row>
    <row r="62" spans="1:3" ht="15.75">
      <c r="A62" s="69" t="s">
        <v>174</v>
      </c>
      <c r="B62" s="8" t="s">
        <v>675</v>
      </c>
      <c r="C62" s="69"/>
    </row>
    <row r="63" spans="1:3" ht="15.75">
      <c r="A63" s="64" t="s">
        <v>176</v>
      </c>
      <c r="B63" s="54" t="s">
        <v>676</v>
      </c>
      <c r="C63" s="64" t="s">
        <v>308</v>
      </c>
    </row>
    <row r="64" spans="1:3" ht="39" customHeight="1">
      <c r="A64" s="64" t="s">
        <v>680</v>
      </c>
      <c r="B64" s="55" t="s">
        <v>677</v>
      </c>
      <c r="C64" s="64" t="s">
        <v>308</v>
      </c>
    </row>
    <row r="65" spans="1:3" ht="70.5" customHeight="1">
      <c r="A65" s="64" t="s">
        <v>681</v>
      </c>
      <c r="B65" s="55" t="s">
        <v>678</v>
      </c>
      <c r="C65" s="64" t="s">
        <v>308</v>
      </c>
    </row>
    <row r="66" spans="1:3" ht="51.75" customHeight="1">
      <c r="A66" s="64" t="s">
        <v>682</v>
      </c>
      <c r="B66" s="55" t="s">
        <v>679</v>
      </c>
      <c r="C66" s="64" t="s">
        <v>308</v>
      </c>
    </row>
    <row r="67" spans="1:3" ht="18.75" customHeight="1">
      <c r="A67" s="64"/>
      <c r="B67" s="55" t="s">
        <v>683</v>
      </c>
      <c r="C67" s="73"/>
    </row>
    <row r="68" spans="1:3" ht="19.5" customHeight="1">
      <c r="A68" s="64" t="s">
        <v>711</v>
      </c>
      <c r="B68" s="55" t="s">
        <v>684</v>
      </c>
      <c r="C68" s="73" t="s">
        <v>308</v>
      </c>
    </row>
    <row r="69" spans="1:3" ht="21" customHeight="1">
      <c r="A69" s="64" t="s">
        <v>712</v>
      </c>
      <c r="B69" s="55" t="s">
        <v>685</v>
      </c>
      <c r="C69" s="73" t="s">
        <v>308</v>
      </c>
    </row>
    <row r="70" spans="1:3" ht="15.75">
      <c r="A70" s="64" t="s">
        <v>713</v>
      </c>
      <c r="B70" s="55" t="s">
        <v>686</v>
      </c>
      <c r="C70" s="73" t="s">
        <v>308</v>
      </c>
    </row>
    <row r="71" spans="1:3" ht="15.75">
      <c r="A71" s="64" t="s">
        <v>714</v>
      </c>
      <c r="B71" s="55" t="s">
        <v>687</v>
      </c>
      <c r="C71" s="73" t="s">
        <v>308</v>
      </c>
    </row>
    <row r="72" spans="1:3" ht="15.75">
      <c r="A72" s="64" t="s">
        <v>715</v>
      </c>
      <c r="B72" s="55" t="s">
        <v>688</v>
      </c>
      <c r="C72" s="73" t="s">
        <v>308</v>
      </c>
    </row>
    <row r="73" spans="1:3" ht="15.75">
      <c r="A73" s="64" t="s">
        <v>615</v>
      </c>
      <c r="B73" s="55" t="s">
        <v>689</v>
      </c>
      <c r="C73" s="73" t="s">
        <v>308</v>
      </c>
    </row>
    <row r="74" spans="1:3" ht="15.75">
      <c r="A74" s="64" t="s">
        <v>716</v>
      </c>
      <c r="B74" s="55" t="s">
        <v>690</v>
      </c>
      <c r="C74" s="73" t="s">
        <v>308</v>
      </c>
    </row>
    <row r="75" spans="1:3" ht="31.5">
      <c r="A75" s="64"/>
      <c r="B75" s="55" t="s">
        <v>691</v>
      </c>
      <c r="C75" s="73"/>
    </row>
    <row r="76" spans="1:3" ht="15.75">
      <c r="A76" s="64" t="s">
        <v>717</v>
      </c>
      <c r="B76" s="55" t="s">
        <v>692</v>
      </c>
      <c r="C76" s="73" t="s">
        <v>308</v>
      </c>
    </row>
    <row r="77" spans="1:3" ht="15.75">
      <c r="A77" s="64" t="s">
        <v>252</v>
      </c>
      <c r="B77" s="55" t="s">
        <v>693</v>
      </c>
      <c r="C77" s="73" t="s">
        <v>308</v>
      </c>
    </row>
    <row r="78" spans="1:3" ht="17.25" customHeight="1">
      <c r="A78" s="64" t="s">
        <v>718</v>
      </c>
      <c r="B78" s="55" t="s">
        <v>694</v>
      </c>
      <c r="C78" s="73" t="s">
        <v>308</v>
      </c>
    </row>
    <row r="79" spans="1:3" ht="15.75">
      <c r="A79" s="64" t="s">
        <v>719</v>
      </c>
      <c r="B79" s="55" t="s">
        <v>695</v>
      </c>
      <c r="C79" s="73" t="s">
        <v>308</v>
      </c>
    </row>
    <row r="80" spans="1:3" ht="31.5">
      <c r="A80" s="64" t="s">
        <v>720</v>
      </c>
      <c r="B80" s="55" t="s">
        <v>696</v>
      </c>
      <c r="C80" s="73" t="s">
        <v>308</v>
      </c>
    </row>
    <row r="81" spans="1:3" ht="36" customHeight="1">
      <c r="A81" s="64" t="s">
        <v>721</v>
      </c>
      <c r="B81" s="55" t="s">
        <v>697</v>
      </c>
      <c r="C81" s="73" t="s">
        <v>308</v>
      </c>
    </row>
    <row r="82" spans="1:3" ht="15.75">
      <c r="A82" s="64" t="s">
        <v>722</v>
      </c>
      <c r="B82" s="55" t="s">
        <v>698</v>
      </c>
      <c r="C82" s="73" t="s">
        <v>308</v>
      </c>
    </row>
    <row r="83" spans="1:3" ht="15.75">
      <c r="A83" s="64" t="s">
        <v>723</v>
      </c>
      <c r="B83" s="55" t="s">
        <v>699</v>
      </c>
      <c r="C83" s="73" t="s">
        <v>308</v>
      </c>
    </row>
    <row r="84" spans="1:3" ht="15.75">
      <c r="A84" s="64" t="s">
        <v>724</v>
      </c>
      <c r="B84" s="55" t="s">
        <v>700</v>
      </c>
      <c r="C84" s="73" t="s">
        <v>308</v>
      </c>
    </row>
    <row r="85" spans="1:3" ht="31.5">
      <c r="A85" s="64" t="s">
        <v>725</v>
      </c>
      <c r="B85" s="55" t="s">
        <v>701</v>
      </c>
      <c r="C85" s="73" t="s">
        <v>308</v>
      </c>
    </row>
    <row r="86" spans="1:3" ht="15.75">
      <c r="A86" s="64" t="s">
        <v>726</v>
      </c>
      <c r="B86" s="55" t="s">
        <v>702</v>
      </c>
      <c r="C86" s="73" t="s">
        <v>308</v>
      </c>
    </row>
    <row r="87" spans="1:3" ht="15.75">
      <c r="A87" s="64" t="s">
        <v>727</v>
      </c>
      <c r="B87" s="55" t="s">
        <v>703</v>
      </c>
      <c r="C87" s="73" t="s">
        <v>308</v>
      </c>
    </row>
    <row r="88" spans="1:3" ht="21.75" customHeight="1">
      <c r="A88" s="64" t="s">
        <v>728</v>
      </c>
      <c r="B88" s="55" t="s">
        <v>704</v>
      </c>
      <c r="C88" s="73" t="s">
        <v>308</v>
      </c>
    </row>
    <row r="89" spans="1:3" ht="15.75">
      <c r="A89" s="64" t="s">
        <v>729</v>
      </c>
      <c r="B89" s="55" t="s">
        <v>705</v>
      </c>
      <c r="C89" s="73" t="s">
        <v>308</v>
      </c>
    </row>
    <row r="90" spans="1:3" ht="47.25">
      <c r="A90" s="64" t="s">
        <v>730</v>
      </c>
      <c r="B90" s="55" t="s">
        <v>706</v>
      </c>
      <c r="C90" s="73" t="s">
        <v>308</v>
      </c>
    </row>
    <row r="91" spans="1:3" ht="64.5" customHeight="1">
      <c r="A91" s="64" t="s">
        <v>731</v>
      </c>
      <c r="B91" s="55" t="s">
        <v>707</v>
      </c>
      <c r="C91" s="73" t="s">
        <v>308</v>
      </c>
    </row>
    <row r="92" spans="1:3" ht="15.75">
      <c r="A92" s="64"/>
      <c r="B92" s="55" t="s">
        <v>708</v>
      </c>
      <c r="C92" s="73"/>
    </row>
    <row r="93" spans="1:3" ht="31.5">
      <c r="A93" s="64" t="s">
        <v>732</v>
      </c>
      <c r="B93" s="55" t="s">
        <v>709</v>
      </c>
      <c r="C93" s="73" t="s">
        <v>308</v>
      </c>
    </row>
    <row r="94" spans="1:3" ht="31.5">
      <c r="A94" s="64" t="s">
        <v>733</v>
      </c>
      <c r="B94" s="55" t="s">
        <v>710</v>
      </c>
      <c r="C94" s="73" t="s">
        <v>308</v>
      </c>
    </row>
    <row r="95" spans="1:3" ht="15.75">
      <c r="A95" s="64" t="s">
        <v>734</v>
      </c>
      <c r="B95" s="56" t="s">
        <v>735</v>
      </c>
      <c r="C95" s="57" t="s">
        <v>308</v>
      </c>
    </row>
    <row r="96" spans="1:3" ht="15.75">
      <c r="A96" s="64" t="s">
        <v>748</v>
      </c>
      <c r="B96" s="56" t="s">
        <v>736</v>
      </c>
      <c r="C96" s="57"/>
    </row>
    <row r="97" spans="1:3" ht="15.75">
      <c r="A97" s="64"/>
      <c r="B97" s="56" t="s">
        <v>737</v>
      </c>
      <c r="C97" s="57" t="s">
        <v>308</v>
      </c>
    </row>
    <row r="98" spans="1:3" ht="15.75">
      <c r="A98" s="64"/>
      <c r="B98" s="56" t="s">
        <v>738</v>
      </c>
      <c r="C98" s="57" t="s">
        <v>308</v>
      </c>
    </row>
    <row r="99" spans="1:3" ht="15.75">
      <c r="A99" s="64" t="s">
        <v>749</v>
      </c>
      <c r="B99" s="56" t="s">
        <v>739</v>
      </c>
      <c r="C99" s="57"/>
    </row>
    <row r="100" spans="1:3" ht="15.75">
      <c r="A100" s="64"/>
      <c r="B100" s="56" t="s">
        <v>740</v>
      </c>
      <c r="C100" s="57" t="s">
        <v>308</v>
      </c>
    </row>
    <row r="101" spans="1:3" ht="15.75">
      <c r="A101" s="64"/>
      <c r="B101" s="56" t="s">
        <v>741</v>
      </c>
      <c r="C101" s="57" t="s">
        <v>308</v>
      </c>
    </row>
    <row r="102" spans="1:3" ht="19.5" customHeight="1">
      <c r="A102" s="64" t="s">
        <v>750</v>
      </c>
      <c r="B102" s="56" t="s">
        <v>742</v>
      </c>
      <c r="C102" s="57" t="s">
        <v>308</v>
      </c>
    </row>
    <row r="103" spans="1:3" ht="15.75">
      <c r="A103" s="64" t="s">
        <v>751</v>
      </c>
      <c r="B103" s="56" t="s">
        <v>743</v>
      </c>
      <c r="C103" s="57" t="s">
        <v>308</v>
      </c>
    </row>
    <row r="104" spans="1:3" ht="15.75">
      <c r="A104" s="64" t="s">
        <v>752</v>
      </c>
      <c r="B104" s="56" t="s">
        <v>744</v>
      </c>
      <c r="C104" s="57" t="s">
        <v>308</v>
      </c>
    </row>
    <row r="105" spans="1:3" ht="15.75">
      <c r="A105" s="64" t="s">
        <v>753</v>
      </c>
      <c r="B105" s="56" t="s">
        <v>745</v>
      </c>
      <c r="C105" s="57"/>
    </row>
    <row r="106" spans="1:3" ht="15.75">
      <c r="A106" s="64"/>
      <c r="B106" s="56" t="s">
        <v>737</v>
      </c>
      <c r="C106" s="57" t="s">
        <v>308</v>
      </c>
    </row>
    <row r="107" spans="1:3" ht="15.75">
      <c r="A107" s="64"/>
      <c r="B107" s="56" t="s">
        <v>738</v>
      </c>
      <c r="C107" s="57" t="s">
        <v>308</v>
      </c>
    </row>
    <row r="108" spans="1:3" ht="15.75">
      <c r="A108" s="64" t="s">
        <v>754</v>
      </c>
      <c r="B108" s="56" t="s">
        <v>746</v>
      </c>
      <c r="C108" s="57"/>
    </row>
    <row r="109" spans="1:3" ht="15.75">
      <c r="A109" s="64"/>
      <c r="B109" s="56" t="s">
        <v>737</v>
      </c>
      <c r="C109" s="57" t="s">
        <v>308</v>
      </c>
    </row>
    <row r="110" spans="1:3" ht="15.75">
      <c r="A110" s="64"/>
      <c r="B110" s="56" t="s">
        <v>738</v>
      </c>
      <c r="C110" s="57" t="s">
        <v>308</v>
      </c>
    </row>
    <row r="111" spans="1:3" ht="15.75">
      <c r="A111" s="64" t="s">
        <v>755</v>
      </c>
      <c r="B111" s="56" t="s">
        <v>747</v>
      </c>
      <c r="C111" s="57" t="s">
        <v>308</v>
      </c>
    </row>
    <row r="113" ht="12.75">
      <c r="B113" s="53" t="s">
        <v>786</v>
      </c>
    </row>
  </sheetData>
  <sheetProtection/>
  <mergeCells count="7">
    <mergeCell ref="B54:C54"/>
    <mergeCell ref="A2:C2"/>
    <mergeCell ref="A1:C1"/>
    <mergeCell ref="A3:C3"/>
    <mergeCell ref="A4:C4"/>
    <mergeCell ref="A9:C9"/>
    <mergeCell ref="B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2020-12-14T06:53:57Z</cp:lastPrinted>
  <dcterms:created xsi:type="dcterms:W3CDTF">1996-10-08T23:32:33Z</dcterms:created>
  <dcterms:modified xsi:type="dcterms:W3CDTF">2020-12-14T12:40:12Z</dcterms:modified>
  <cp:category/>
  <cp:version/>
  <cp:contentType/>
  <cp:contentStatus/>
</cp:coreProperties>
</file>